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095" tabRatio="839" activeTab="0"/>
  </bookViews>
  <sheets>
    <sheet name="FY 23-24" sheetId="1" r:id="rId1"/>
    <sheet name="FY 22-23" sheetId="2" r:id="rId2"/>
    <sheet name="FY 21-22" sheetId="3" r:id="rId3"/>
    <sheet name="FY 20-21" sheetId="4" r:id="rId4"/>
    <sheet name="FY 19-20" sheetId="5" r:id="rId5"/>
    <sheet name="FY 18-19" sheetId="6" r:id="rId6"/>
    <sheet name="FY 17-18" sheetId="7" r:id="rId7"/>
    <sheet name="FY 16-17" sheetId="8" r:id="rId8"/>
    <sheet name="FY 15-16" sheetId="9" r:id="rId9"/>
    <sheet name="FY 14-15" sheetId="10" r:id="rId10"/>
    <sheet name="FY 13-14" sheetId="11" r:id="rId11"/>
    <sheet name="FY 12-13" sheetId="12" r:id="rId12"/>
    <sheet name="FY 11-12" sheetId="13" r:id="rId13"/>
    <sheet name="FY 10-11" sheetId="14" r:id="rId14"/>
    <sheet name="FY 09-10" sheetId="15" r:id="rId15"/>
    <sheet name="FY 08-09" sheetId="16" r:id="rId16"/>
    <sheet name="FY 07-08" sheetId="17" r:id="rId17"/>
    <sheet name="FY 06-07" sheetId="18" r:id="rId18"/>
    <sheet name="FY 05-06" sheetId="19" r:id="rId19"/>
    <sheet name="FY 04-05" sheetId="20" r:id="rId20"/>
    <sheet name="FY 03-04" sheetId="21" r:id="rId21"/>
  </sheets>
  <definedNames>
    <definedName name="_xlfn.IFERROR" hidden="1">#NAME?</definedName>
    <definedName name="_xlnm.Print_Area" localSheetId="20">'FY 03-04'!$A$1:$K$61</definedName>
    <definedName name="_xlnm.Print_Area" localSheetId="19">'FY 04-05'!$A$1:$K$61</definedName>
    <definedName name="_xlnm.Print_Area" localSheetId="18">'FY 05-06'!$A$1:$K$67</definedName>
    <definedName name="_xlnm.Print_Area" localSheetId="17">'FY 06-07'!$A$1:$K$63</definedName>
    <definedName name="_xlnm.Print_Area" localSheetId="16">'FY 07-08'!$A$1:$K$70</definedName>
    <definedName name="_xlnm.Print_Area" localSheetId="15">'FY 08-09'!$A$1:$L$72</definedName>
    <definedName name="_xlnm.Print_Area" localSheetId="14">'FY 09-10'!$A$1:$L$73</definedName>
    <definedName name="_xlnm.Print_Area" localSheetId="13">'FY 10-11'!$A$1:$L$76</definedName>
    <definedName name="_xlnm.Print_Area" localSheetId="12">'FY 11-12'!$A$1:$M$75</definedName>
    <definedName name="_xlnm.Print_Area" localSheetId="11">'FY 12-13'!$A$1:$M$75</definedName>
    <definedName name="_xlnm.Print_Area" localSheetId="10">'FY 13-14'!$A$1:$M$74</definedName>
    <definedName name="_xlnm.Print_Area" localSheetId="9">'FY 14-15'!$A$1:$M$74</definedName>
    <definedName name="_xlnm.Print_Area" localSheetId="8">'FY 15-16'!$A$1:$M$74</definedName>
    <definedName name="_xlnm.Print_Area" localSheetId="7">'FY 16-17'!$A$1:$M$74</definedName>
    <definedName name="_xlnm.Print_Area" localSheetId="6">'FY 17-18'!$A$1:$M$74</definedName>
    <definedName name="_xlnm.Print_Area" localSheetId="5">'FY 18-19'!$A$1:$M$74</definedName>
    <definedName name="_xlnm.Print_Area" localSheetId="4">'FY 19-20'!$A$1:$K$70</definedName>
    <definedName name="_xlnm.Print_Area" localSheetId="3">'FY 20-21'!$A$1:$K$70</definedName>
    <definedName name="_xlnm.Print_Area" localSheetId="2">'FY 21-22'!$A$1:$K$70</definedName>
    <definedName name="_xlnm.Print_Area" localSheetId="1">'FY 22-23'!$A$1:$K$70</definedName>
    <definedName name="_xlnm.Print_Area" localSheetId="0">'FY 23-24'!$A$1:$K$70</definedName>
  </definedNames>
  <calcPr fullCalcOnLoad="1"/>
</workbook>
</file>

<file path=xl/sharedStrings.xml><?xml version="1.0" encoding="utf-8"?>
<sst xmlns="http://schemas.openxmlformats.org/spreadsheetml/2006/main" count="1511" uniqueCount="132">
  <si>
    <t>Fairgrounds Gaming &amp; Raceway</t>
  </si>
  <si>
    <t>5600 McKinley Parkway</t>
  </si>
  <si>
    <t>Hamburg, NY 14075</t>
  </si>
  <si>
    <t>www.the-fairgrounds.com/gaming.php</t>
  </si>
  <si>
    <t>(716) 646-6109</t>
  </si>
  <si>
    <t>Fiscal Year 2003/04</t>
  </si>
  <si>
    <t>Distribution of Net Win:</t>
  </si>
  <si>
    <t>Credits</t>
  </si>
  <si>
    <t>Avg Daily</t>
  </si>
  <si>
    <t>Win/VGM</t>
  </si>
  <si>
    <t>Education</t>
  </si>
  <si>
    <t>Marketing</t>
  </si>
  <si>
    <t>Month</t>
  </si>
  <si>
    <t>Played</t>
  </si>
  <si>
    <t>Won</t>
  </si>
  <si>
    <t>Net Win</t>
  </si>
  <si>
    <t>VGM's</t>
  </si>
  <si>
    <t>per Day</t>
  </si>
  <si>
    <t>Contribution</t>
  </si>
  <si>
    <t>Commission</t>
  </si>
  <si>
    <t>Allowance</t>
  </si>
  <si>
    <t>Total</t>
  </si>
  <si>
    <t>Definition of Terms</t>
  </si>
  <si>
    <t>Credits Played:</t>
  </si>
  <si>
    <t>Credits Won:</t>
  </si>
  <si>
    <t>The amount of onscreen credits won on a VGM.  Also includes any progressive jackpot liability due to players.</t>
  </si>
  <si>
    <t>Net Win:</t>
  </si>
  <si>
    <t xml:space="preserve">The net revenues remaining after payout of prizes to players. (Credits Played less Credits Won)  Net win is </t>
  </si>
  <si>
    <t>commonly referred to as "Hold" or "Net Machine Income".</t>
  </si>
  <si>
    <t>Education Contribution:</t>
  </si>
  <si>
    <t>The portion of Net Win allocated to the State Education Fund for direct aid to education.</t>
  </si>
  <si>
    <t>Marketing Allowance:</t>
  </si>
  <si>
    <t>Distribution of Net Win per Legislation</t>
  </si>
  <si>
    <t xml:space="preserve"> </t>
  </si>
  <si>
    <t>All net win</t>
  </si>
  <si>
    <t>Source:  New York Lottery</t>
  </si>
  <si>
    <t>Fiscal Year 2004/05</t>
  </si>
  <si>
    <t>Fiscal Year 2005/06</t>
  </si>
  <si>
    <t>4/1/05 - 4/12/05:</t>
  </si>
  <si>
    <t>Effective 4/13/05, per amended legislation:</t>
  </si>
  <si>
    <t>First $50 million net win annually</t>
  </si>
  <si>
    <t>$50 - $100 million net win</t>
  </si>
  <si>
    <t>$100 - $150 million net win</t>
  </si>
  <si>
    <t>Over $150 million net win</t>
  </si>
  <si>
    <t>Fiscal Year 2006/07</t>
  </si>
  <si>
    <t>Fiscal Year 2007/08</t>
  </si>
  <si>
    <t>Aid to Municipalities with Video Lottery Gaming Facilities Program</t>
  </si>
  <si>
    <t>Town of Hamburg</t>
  </si>
  <si>
    <t>Erie County</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</si>
  <si>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2007 host municipalities of the Fairgrounds Gaming &amp; Raceway facility received the following aid payments: </t>
  </si>
  <si>
    <t>Fiscal Year 2008/2009</t>
  </si>
  <si>
    <t>Capital</t>
  </si>
  <si>
    <t>Award</t>
  </si>
  <si>
    <t>Capital Award:</t>
  </si>
  <si>
    <t>The portion of Net Win allocated to the operators of the gaming facility that is restricted for capital project investments which improve the</t>
  </si>
  <si>
    <t>The net revenues remaining after payout of prizes to players. (Credits Played less Credits Won)  Net win is commonly referred to as "Hold"</t>
  </si>
  <si>
    <t>or "Net Machine Income".</t>
  </si>
  <si>
    <t>facilities and promote or encourage increased attendance at the video gaming facility. The Capital Award is subject to an annual cap</t>
  </si>
  <si>
    <t>of $2.5 million.</t>
  </si>
  <si>
    <t>Over $100 million net win</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</si>
  <si>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2008 host municipalities of the Fairgrounds Gaming &amp; Raceway facility received the following aid payments: </t>
  </si>
  <si>
    <t>First $62.5 million net win annually</t>
  </si>
  <si>
    <t>$62.5 - $100 million net win annually</t>
  </si>
  <si>
    <t>Fiscal Year 2009/2010</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</si>
  <si>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2009 host municipalities of the Fairgrounds Gaming &amp; Raceway facility received the following aid payments: </t>
  </si>
  <si>
    <t>The net revenues remaining after payout of prizes to players. (Credits Played less Credits Won)  Net win is commonly</t>
  </si>
  <si>
    <t>referred to as "Hold" or "Net Machine Income".</t>
  </si>
  <si>
    <t>The portion of Net Win allocated to the operators of the gaming facility that is restricted for capital project investments</t>
  </si>
  <si>
    <t>which improve the facilities and promote or encourage increased attendance at the video gaming facility. The Capital Award</t>
  </si>
  <si>
    <t>is subject to an annual cap of $2.5 million.</t>
  </si>
  <si>
    <t>Fiscal Year 2010/2011</t>
  </si>
  <si>
    <t>Hamburg Casino at the Fairgrounds</t>
  </si>
  <si>
    <t xml:space="preserve">                Note: The percentages above reflect revised legislation that went into effect August 11, 2010. This legislation lowered Racetrack Commissions</t>
  </si>
  <si>
    <t xml:space="preserve">                and increased Education Contribution by 1%.</t>
  </si>
  <si>
    <t>Fiscal Year 2011/2012</t>
  </si>
  <si>
    <t>Free Play</t>
  </si>
  <si>
    <t>Agent Commission:</t>
  </si>
  <si>
    <t>The portion of Net Win paid to the casino operator as compensation for operating the gaming facility. Most operating expenses</t>
  </si>
  <si>
    <t xml:space="preserve">The portion of the Net Win paid to the casino operator to finance the costs of advertising, marketing and promoting </t>
  </si>
  <si>
    <t>video lottery play at the casino.</t>
  </si>
  <si>
    <t xml:space="preserve">The portion of Net Win used to reimburse gaming floor vendors (central system and game machine providers) and </t>
  </si>
  <si>
    <t>administer the Video Gaming Program (sometimes labeled "Lottery Administration").</t>
  </si>
  <si>
    <t>Agent</t>
  </si>
  <si>
    <t>Gaming Floor</t>
  </si>
  <si>
    <t>&amp; Admin</t>
  </si>
  <si>
    <t xml:space="preserve">of the gaming facility are paid from the agent commission (including the horse racing subsidies), with the exception of the </t>
  </si>
  <si>
    <t xml:space="preserve">gaming floor itself, which is provided by the other vendors and paid for by the Lottery. </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</si>
  <si>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2010 host municipalities of the Hamburg Casino at the Fairgrounds facility received the following aid payments: </t>
  </si>
  <si>
    <t>Gaming Floor &amp; Admin:</t>
  </si>
  <si>
    <t>The amount of promotional free play included in Credits Played that is subsidized by the State through a reduction to Net Win.</t>
  </si>
  <si>
    <t>Agent Commission</t>
  </si>
  <si>
    <t>Operator</t>
  </si>
  <si>
    <t>Purses</t>
  </si>
  <si>
    <t>Breeders</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</si>
  <si>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2011 host municipalities of the Hamburg Casino at the Fairgrounds facility received the following aid payments: </t>
  </si>
  <si>
    <t>Fiscal Year 2012/2013</t>
  </si>
  <si>
    <t>The amount of onscreen credits wagered on a video gaming machine (VGM).  This amount includes Credits Played resulting</t>
  </si>
  <si>
    <t>from; (a) cash and vouchers inserted into a VGM, and (b) any Credits Won used to make a wager on a VGM.</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</si>
  <si>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2012 host municipalities of the Hamburg Casino at the Fairgrounds facility received the following aid payments: </t>
  </si>
  <si>
    <t>Free Play Allowance:</t>
  </si>
  <si>
    <t>Source:  New York State Gaming Commission</t>
  </si>
  <si>
    <t>Fiscal Year 2013/2014</t>
  </si>
  <si>
    <t>Hamburg Gaming</t>
  </si>
  <si>
    <t>The amount of onscreen credits won on a VGM (prize payout).  Also includes any progressive jackpot liability due to players.</t>
  </si>
  <si>
    <t>Fiscal Year 2014/2015</t>
  </si>
  <si>
    <t>The portion of Net Win paid to the operator as compensation for operating the gaming facility. Most operating expenses</t>
  </si>
  <si>
    <t xml:space="preserve">The portion of the Net Win paid to the operator to finance the costs of advertising, marketing and promoting </t>
  </si>
  <si>
    <t>video lottery play at the facilty.</t>
  </si>
  <si>
    <t>Fiscal Year 2015/2016</t>
  </si>
  <si>
    <t>Over $62.5 million net win annually</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</si>
  <si>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2013-2014 host municipalities of the Hamburg Casino at the Fairgrounds facility were scheduled to receive the following aid payments:</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</si>
  <si>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2014-2015 host municipalities of the Hamburg Casino at the Fairgrounds facility were scheduled to receive the following aid payments:</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</si>
  <si>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2015-2016 host municipalities of the Hamburg Casino at the Fairgrounds facility were scheduled to receive the following aid payments:</t>
  </si>
  <si>
    <t>Fiscal Year 2016/2017</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</si>
  <si>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2016-2017 host municipalities of the Hamburg Casino at the Fairgrounds facility were scheduled to receive the following aid payments:</t>
  </si>
  <si>
    <t>Fiscal Year 2017/2018</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</si>
  <si>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2017-2018 host municipalities of the Hamburg Casino at the Fairgrounds facility were scheduled to receive the following aid payments:</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</si>
  <si>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2018-2019 host municipalities of the Hamburg Casino at the Fairgrounds facility were scheduled to receive the following aid payments:</t>
  </si>
  <si>
    <t>Fiscal Year 2018/2019</t>
  </si>
  <si>
    <t>Fiscal Year 2019/2020</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</si>
  <si>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2019-2020 host municipalities of the Hamburg Casino at the Fairgrounds facility were scheduled to receive the following aid payments:</t>
  </si>
  <si>
    <r>
      <t>Effective April 12</t>
    </r>
    <r>
      <rPr>
        <vertAlign val="superscript"/>
        <sz val="10"/>
        <rFont val="Arial"/>
        <family val="2"/>
      </rPr>
      <t>th</t>
    </r>
    <r>
      <rPr>
        <sz val="10"/>
        <rFont val="Arial"/>
        <family val="2"/>
      </rPr>
      <t xml:space="preserve">, Chapter 59 of the Laws of 2019 repealed and replaced the existing marketing and capital award programs. </t>
    </r>
  </si>
  <si>
    <t>Pursuant to the new provisions, agent commission rates are inclusive of marketing and capital award funds. Agents shall</t>
  </si>
  <si>
    <t>dedicate 4% of net win, subject to a $2.5 million annual cap, to capital award projects.</t>
  </si>
  <si>
    <t>Fiscal Year 2020/2021</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</si>
  <si>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2020-2021 host municipalities of the Hamburg Casino at the Fairgrounds facility were scheduled to receive the following aid payments:</t>
  </si>
  <si>
    <t>Fiscal Year 2021/2022</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</si>
  <si>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2021-2022 host municipalities of the Hamburg Casino at the Fairgrounds facility were scheduled to receive the following aid payments:</t>
  </si>
  <si>
    <t>Fiscal Year 2022/2023</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</si>
  <si>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2022-2023 host municipalities of the Hamburg Casino at the Fairgrounds facility were scheduled to receive the following aid payments:</t>
  </si>
  <si>
    <t>Fiscal Year 2023/2024</t>
  </si>
  <si>
    <t>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2023-2024 host municipalities of the Hamburg Casino at the Fairgrounds facility were scheduled to receive the following aid payments: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</si>
</sst>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_);[Red]\(0.00%\)"/>
    <numFmt numFmtId="166" formatCode="[$-409]dddd\,\ mmmm\ dd\,\ yyyy"/>
    <numFmt numFmtId="167" formatCode="&quot;$&quot;#,##0.0_);[Red]\(&quot;$&quot;#,##0.0\)"/>
    <numFmt numFmtId="168" formatCode="[$-409]h:mm:ss\ AM/PM"/>
    <numFmt numFmtId="169" formatCode="0.00%;[Red]\(0.00%\)"/>
    <numFmt numFmtId="170" formatCode="m/d/yy;@"/>
    <numFmt numFmtId="171" formatCode="[Red]0.00%\)\(0.00%\)"/>
    <numFmt numFmtId="172" formatCode="&quot;$&quot;#,##0.000_);[Red]\(&quot;$&quot;#,##0.000\)"/>
    <numFmt numFmtId="173" formatCode="&quot;$&quot;#,##0.0000_);[Red]\(&quot;$&quot;#,##0.0000\)"/>
    <numFmt numFmtId="174" formatCode="mmm\-yyyy"/>
  </numFmts>
  <fonts count="50">
    <font>
      <sz val="10"/>
      <name val="Arial"/>
      <family val="0"/>
    </font>
    <font>
      <b/>
      <sz val="14"/>
      <name val="Arial"/>
      <family val="2"/>
    </font>
    <font>
      <sz val="10"/>
      <color indexed="8"/>
      <name val="Arial"/>
      <family val="2"/>
    </font>
    <font>
      <sz val="12"/>
      <name val="Arial"/>
      <family val="2"/>
    </font>
    <font>
      <u val="single"/>
      <sz val="11"/>
      <color indexed="12"/>
      <name val="Arial"/>
      <family val="2"/>
    </font>
    <font>
      <u val="single"/>
      <sz val="10"/>
      <color indexed="12"/>
      <name val="Arial"/>
      <family val="2"/>
    </font>
    <font>
      <sz val="11"/>
      <name val="Arial"/>
      <family val="2"/>
    </font>
    <font>
      <b/>
      <sz val="10"/>
      <name val="Arial"/>
      <family val="2"/>
    </font>
    <font>
      <b/>
      <sz val="9"/>
      <name val="Arial"/>
      <family val="2"/>
    </font>
    <font>
      <sz val="9"/>
      <name val="Arial"/>
      <family val="2"/>
    </font>
    <font>
      <b/>
      <vertAlign val="superscript"/>
      <sz val="9"/>
      <name val="Arial"/>
      <family val="2"/>
    </font>
    <font>
      <u val="single"/>
      <sz val="10"/>
      <color indexed="36"/>
      <name val="Arial"/>
      <family val="2"/>
    </font>
    <font>
      <sz val="8"/>
      <name val="Arial"/>
      <family val="2"/>
    </font>
    <font>
      <b/>
      <i/>
      <u val="single"/>
      <sz val="10"/>
      <name val="Arial"/>
      <family val="2"/>
    </font>
    <font>
      <b/>
      <sz val="10"/>
      <color indexed="8"/>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2" fillId="0" borderId="0">
      <alignment vertical="top"/>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5">
    <xf numFmtId="0" fontId="0" fillId="0" borderId="0" xfId="0" applyAlignment="1">
      <alignment/>
    </xf>
    <xf numFmtId="0" fontId="0" fillId="0" borderId="0" xfId="0" applyAlignment="1">
      <alignment horizontal="center"/>
    </xf>
    <xf numFmtId="6" fontId="6" fillId="0" borderId="0" xfId="0" applyNumberFormat="1" applyFont="1" applyAlignment="1">
      <alignment horizontal="center"/>
    </xf>
    <xf numFmtId="164" fontId="0" fillId="0" borderId="0" xfId="0" applyNumberFormat="1" applyAlignment="1">
      <alignment horizontal="center"/>
    </xf>
    <xf numFmtId="6" fontId="0" fillId="0" borderId="0" xfId="0" applyNumberFormat="1" applyAlignment="1">
      <alignment horizontal="left"/>
    </xf>
    <xf numFmtId="6" fontId="0" fillId="0" borderId="0" xfId="0" applyNumberFormat="1" applyAlignment="1">
      <alignment horizontal="center"/>
    </xf>
    <xf numFmtId="38" fontId="0" fillId="0" borderId="0" xfId="0" applyNumberFormat="1" applyAlignment="1">
      <alignment horizontal="center"/>
    </xf>
    <xf numFmtId="0" fontId="0" fillId="0" borderId="0" xfId="0" applyFont="1" applyAlignment="1">
      <alignment horizontal="center"/>
    </xf>
    <xf numFmtId="6" fontId="8" fillId="0" borderId="10" xfId="0" applyNumberFormat="1" applyFont="1" applyBorder="1" applyAlignment="1">
      <alignment horizontal="center"/>
    </xf>
    <xf numFmtId="164" fontId="8" fillId="0" borderId="0" xfId="0" applyNumberFormat="1" applyFont="1" applyAlignment="1">
      <alignment horizontal="center"/>
    </xf>
    <xf numFmtId="6" fontId="8" fillId="0" borderId="0" xfId="0" applyNumberFormat="1" applyFont="1" applyAlignment="1">
      <alignment horizontal="center"/>
    </xf>
    <xf numFmtId="38" fontId="8" fillId="0" borderId="0" xfId="0" applyNumberFormat="1" applyFont="1" applyAlignment="1">
      <alignment horizontal="center"/>
    </xf>
    <xf numFmtId="0" fontId="8" fillId="0" borderId="0" xfId="0" applyFont="1" applyAlignment="1">
      <alignment horizontal="center"/>
    </xf>
    <xf numFmtId="164" fontId="8" fillId="0" borderId="10" xfId="0" applyNumberFormat="1" applyFont="1" applyBorder="1" applyAlignment="1">
      <alignment horizontal="center"/>
    </xf>
    <xf numFmtId="38" fontId="8" fillId="0" borderId="10" xfId="0" applyNumberFormat="1" applyFont="1" applyBorder="1" applyAlignment="1">
      <alignment horizontal="center"/>
    </xf>
    <xf numFmtId="6" fontId="8" fillId="0" borderId="0" xfId="0" applyNumberFormat="1" applyFont="1" applyBorder="1" applyAlignment="1">
      <alignment horizontal="center"/>
    </xf>
    <xf numFmtId="6" fontId="0" fillId="0" borderId="0" xfId="0" applyNumberFormat="1" applyAlignment="1">
      <alignment/>
    </xf>
    <xf numFmtId="38" fontId="0" fillId="0" borderId="0" xfId="0" applyNumberFormat="1" applyAlignment="1">
      <alignment/>
    </xf>
    <xf numFmtId="6" fontId="2" fillId="0" borderId="0" xfId="0" applyNumberFormat="1" applyFont="1" applyBorder="1" applyAlignment="1">
      <alignment vertical="top"/>
    </xf>
    <xf numFmtId="6" fontId="0" fillId="0" borderId="11" xfId="0" applyNumberFormat="1" applyBorder="1" applyAlignment="1">
      <alignment/>
    </xf>
    <xf numFmtId="6" fontId="0" fillId="0" borderId="0" xfId="0" applyNumberFormat="1" applyBorder="1" applyAlignment="1">
      <alignment/>
    </xf>
    <xf numFmtId="165" fontId="0" fillId="0" borderId="0" xfId="0" applyNumberFormat="1" applyAlignment="1">
      <alignment horizontal="center"/>
    </xf>
    <xf numFmtId="165" fontId="0" fillId="0" borderId="0" xfId="0" applyNumberFormat="1" applyBorder="1" applyAlignment="1">
      <alignment/>
    </xf>
    <xf numFmtId="165" fontId="0" fillId="0" borderId="0" xfId="0" applyNumberFormat="1" applyAlignment="1">
      <alignment/>
    </xf>
    <xf numFmtId="0" fontId="0" fillId="0" borderId="0" xfId="0" applyFont="1" applyAlignment="1">
      <alignment/>
    </xf>
    <xf numFmtId="164" fontId="0" fillId="0" borderId="0" xfId="0" applyNumberFormat="1" applyAlignment="1">
      <alignment horizontal="left"/>
    </xf>
    <xf numFmtId="164" fontId="7" fillId="0" borderId="0" xfId="0" applyNumberFormat="1" applyFont="1" applyAlignment="1">
      <alignment horizontal="left"/>
    </xf>
    <xf numFmtId="6" fontId="0" fillId="0" borderId="0" xfId="0" applyNumberFormat="1" applyFont="1" applyAlignment="1">
      <alignment/>
    </xf>
    <xf numFmtId="38" fontId="0" fillId="0" borderId="0" xfId="0" applyNumberFormat="1" applyFont="1" applyAlignment="1">
      <alignment/>
    </xf>
    <xf numFmtId="164" fontId="0" fillId="0" borderId="0" xfId="0" applyNumberFormat="1" applyFont="1" applyAlignment="1">
      <alignment horizontal="left"/>
    </xf>
    <xf numFmtId="164" fontId="9" fillId="0" borderId="0" xfId="0" applyNumberFormat="1" applyFont="1" applyAlignment="1">
      <alignment horizontal="left"/>
    </xf>
    <xf numFmtId="6" fontId="9" fillId="0" borderId="0" xfId="0" applyNumberFormat="1" applyFont="1" applyAlignment="1">
      <alignment/>
    </xf>
    <xf numFmtId="38" fontId="9" fillId="0" borderId="0" xfId="0" applyNumberFormat="1" applyFont="1" applyAlignment="1">
      <alignment/>
    </xf>
    <xf numFmtId="0" fontId="10" fillId="0" borderId="0" xfId="0" applyFont="1" applyAlignment="1">
      <alignment/>
    </xf>
    <xf numFmtId="6" fontId="7" fillId="0" borderId="0" xfId="0" applyNumberFormat="1" applyFont="1" applyAlignment="1">
      <alignment/>
    </xf>
    <xf numFmtId="6" fontId="9" fillId="0" borderId="0" xfId="0" applyNumberFormat="1" applyFont="1" applyBorder="1" applyAlignment="1">
      <alignment horizontal="center"/>
    </xf>
    <xf numFmtId="0" fontId="9" fillId="0" borderId="0" xfId="0" applyFont="1" applyAlignment="1">
      <alignment/>
    </xf>
    <xf numFmtId="6" fontId="7" fillId="0" borderId="10" xfId="0" applyNumberFormat="1" applyFont="1" applyBorder="1" applyAlignment="1">
      <alignment/>
    </xf>
    <xf numFmtId="6" fontId="7" fillId="0" borderId="0" xfId="0" applyNumberFormat="1" applyFont="1" applyBorder="1" applyAlignment="1">
      <alignment/>
    </xf>
    <xf numFmtId="9" fontId="9" fillId="0" borderId="0" xfId="0" applyNumberFormat="1" applyFont="1" applyBorder="1" applyAlignment="1">
      <alignment horizontal="center"/>
    </xf>
    <xf numFmtId="0" fontId="0" fillId="0" borderId="0" xfId="0" applyFont="1" applyAlignment="1">
      <alignment horizontal="left" vertical="top"/>
    </xf>
    <xf numFmtId="9" fontId="0" fillId="0" borderId="0" xfId="0" applyNumberFormat="1" applyFont="1" applyAlignment="1">
      <alignment horizontal="center"/>
    </xf>
    <xf numFmtId="6" fontId="13" fillId="0" borderId="0" xfId="0" applyNumberFormat="1" applyFont="1" applyAlignment="1">
      <alignment/>
    </xf>
    <xf numFmtId="164" fontId="2" fillId="0" borderId="0" xfId="0" applyNumberFormat="1" applyFont="1" applyAlignment="1">
      <alignment horizontal="center"/>
    </xf>
    <xf numFmtId="6" fontId="0" fillId="0" borderId="0" xfId="0" applyNumberFormat="1" applyFont="1" applyAlignment="1">
      <alignment vertical="top"/>
    </xf>
    <xf numFmtId="6" fontId="2" fillId="0" borderId="0" xfId="0" applyNumberFormat="1" applyFont="1" applyAlignment="1">
      <alignment vertical="top"/>
    </xf>
    <xf numFmtId="38" fontId="0" fillId="0" borderId="0" xfId="0" applyNumberFormat="1" applyFont="1" applyAlignment="1">
      <alignment vertical="top"/>
    </xf>
    <xf numFmtId="0" fontId="2" fillId="0" borderId="0" xfId="0" applyFont="1" applyAlignment="1">
      <alignment vertical="top"/>
    </xf>
    <xf numFmtId="6" fontId="2" fillId="0" borderId="0" xfId="0" applyNumberFormat="1" applyFont="1" applyAlignment="1">
      <alignment horizontal="center"/>
    </xf>
    <xf numFmtId="6" fontId="2" fillId="0" borderId="11" xfId="0" applyNumberFormat="1" applyFont="1" applyBorder="1" applyAlignment="1">
      <alignment vertical="top"/>
    </xf>
    <xf numFmtId="165" fontId="2" fillId="0" borderId="0" xfId="0" applyNumberFormat="1" applyFont="1" applyBorder="1" applyAlignment="1">
      <alignment vertical="top"/>
    </xf>
    <xf numFmtId="6" fontId="0" fillId="0" borderId="0" xfId="0" applyNumberFormat="1" applyFont="1" applyAlignment="1">
      <alignment wrapText="1"/>
    </xf>
    <xf numFmtId="6" fontId="9" fillId="0" borderId="0" xfId="0" applyNumberFormat="1" applyFont="1" applyAlignment="1">
      <alignment vertical="top"/>
    </xf>
    <xf numFmtId="38" fontId="9" fillId="0" borderId="0" xfId="0" applyNumberFormat="1" applyFont="1" applyAlignment="1">
      <alignment vertical="top"/>
    </xf>
    <xf numFmtId="0" fontId="0" fillId="0" borderId="0" xfId="0" applyFont="1" applyAlignment="1">
      <alignment vertical="top"/>
    </xf>
    <xf numFmtId="164" fontId="2" fillId="0" borderId="0" xfId="0" applyNumberFormat="1" applyFont="1" applyAlignment="1">
      <alignment/>
    </xf>
    <xf numFmtId="6" fontId="8" fillId="0" borderId="10" xfId="0" applyNumberFormat="1" applyFont="1" applyBorder="1" applyAlignment="1">
      <alignment horizontal="right"/>
    </xf>
    <xf numFmtId="10" fontId="0" fillId="0" borderId="0" xfId="0" applyNumberFormat="1" applyFont="1" applyAlignment="1">
      <alignment horizontal="center"/>
    </xf>
    <xf numFmtId="10" fontId="0" fillId="0" borderId="0" xfId="0" applyNumberFormat="1" applyFont="1" applyAlignment="1">
      <alignment horizontal="right"/>
    </xf>
    <xf numFmtId="10" fontId="0" fillId="0" borderId="0" xfId="0" applyNumberFormat="1" applyFont="1" applyAlignment="1">
      <alignment/>
    </xf>
    <xf numFmtId="164" fontId="7" fillId="0" borderId="0" xfId="61" applyNumberFormat="1" applyFont="1" applyAlignment="1">
      <alignment horizontal="left"/>
      <protection/>
    </xf>
    <xf numFmtId="6" fontId="0" fillId="0" borderId="0" xfId="61" applyNumberFormat="1" applyFont="1">
      <alignment vertical="top"/>
      <protection/>
    </xf>
    <xf numFmtId="6" fontId="0" fillId="0" borderId="0" xfId="61" applyNumberFormat="1" applyFont="1" applyAlignment="1">
      <alignment/>
      <protection/>
    </xf>
    <xf numFmtId="6" fontId="0" fillId="0" borderId="0" xfId="61" applyNumberFormat="1" applyFont="1" applyAlignment="1">
      <alignment wrapText="1"/>
      <protection/>
    </xf>
    <xf numFmtId="0" fontId="2" fillId="0" borderId="0" xfId="61">
      <alignment vertical="top"/>
      <protection/>
    </xf>
    <xf numFmtId="164" fontId="7" fillId="0" borderId="0" xfId="0" applyNumberFormat="1" applyFont="1" applyAlignment="1">
      <alignment horizontal="center"/>
    </xf>
    <xf numFmtId="6" fontId="7" fillId="0" borderId="11" xfId="0" applyNumberFormat="1" applyFont="1" applyBorder="1" applyAlignment="1">
      <alignment/>
    </xf>
    <xf numFmtId="6" fontId="14" fillId="0" borderId="11" xfId="0" applyNumberFormat="1" applyFont="1" applyBorder="1" applyAlignment="1">
      <alignment vertical="top"/>
    </xf>
    <xf numFmtId="38" fontId="7" fillId="0" borderId="11" xfId="0" applyNumberFormat="1" applyFont="1" applyBorder="1" applyAlignment="1">
      <alignment/>
    </xf>
    <xf numFmtId="0" fontId="0" fillId="0" borderId="0" xfId="57" applyAlignment="1">
      <alignment/>
      <protection/>
    </xf>
    <xf numFmtId="6" fontId="0" fillId="0" borderId="0" xfId="57" applyNumberFormat="1" applyAlignment="1">
      <alignment/>
      <protection/>
    </xf>
    <xf numFmtId="38" fontId="0" fillId="0" borderId="0" xfId="57" applyNumberFormat="1" applyAlignment="1">
      <alignment/>
      <protection/>
    </xf>
    <xf numFmtId="164" fontId="0" fillId="0" borderId="0" xfId="57" applyNumberFormat="1" applyAlignment="1">
      <alignment horizontal="center"/>
      <protection/>
    </xf>
    <xf numFmtId="164" fontId="0" fillId="0" borderId="0" xfId="57" applyNumberFormat="1" applyFont="1" applyAlignment="1">
      <alignment horizontal="left"/>
      <protection/>
    </xf>
    <xf numFmtId="164" fontId="0" fillId="0" borderId="0" xfId="57" applyNumberFormat="1" applyAlignment="1">
      <alignment horizontal="left"/>
      <protection/>
    </xf>
    <xf numFmtId="0" fontId="0" fillId="0" borderId="0" xfId="57" applyFont="1" applyAlignment="1">
      <alignment/>
      <protection/>
    </xf>
    <xf numFmtId="9" fontId="9" fillId="0" borderId="0" xfId="57" applyNumberFormat="1" applyFont="1" applyBorder="1" applyAlignment="1">
      <alignment horizontal="center"/>
      <protection/>
    </xf>
    <xf numFmtId="9" fontId="0" fillId="0" borderId="0" xfId="57" applyNumberFormat="1" applyFont="1" applyAlignment="1">
      <alignment horizontal="center"/>
      <protection/>
    </xf>
    <xf numFmtId="6" fontId="0" fillId="0" borderId="0" xfId="57" applyNumberFormat="1" applyFont="1" applyAlignment="1">
      <alignment/>
      <protection/>
    </xf>
    <xf numFmtId="38" fontId="0" fillId="0" borderId="0" xfId="57" applyNumberFormat="1" applyFont="1" applyAlignment="1">
      <alignment/>
      <protection/>
    </xf>
    <xf numFmtId="0" fontId="0" fillId="0" borderId="0" xfId="57" applyFont="1" applyAlignment="1">
      <alignment horizontal="left" vertical="top"/>
      <protection/>
    </xf>
    <xf numFmtId="10" fontId="0" fillId="0" borderId="0" xfId="57" applyNumberFormat="1" applyFont="1" applyAlignment="1">
      <alignment horizontal="center"/>
      <protection/>
    </xf>
    <xf numFmtId="10" fontId="0" fillId="0" borderId="0" xfId="57" applyNumberFormat="1" applyFont="1" applyAlignment="1">
      <alignment/>
      <protection/>
    </xf>
    <xf numFmtId="10" fontId="0" fillId="0" borderId="0" xfId="57" applyNumberFormat="1" applyFont="1" applyAlignment="1">
      <alignment horizontal="right"/>
      <protection/>
    </xf>
    <xf numFmtId="6" fontId="9" fillId="0" borderId="0" xfId="57" applyNumberFormat="1" applyFont="1" applyBorder="1" applyAlignment="1">
      <alignment horizontal="center"/>
      <protection/>
    </xf>
    <xf numFmtId="6" fontId="8" fillId="0" borderId="10" xfId="57" applyNumberFormat="1" applyFont="1" applyBorder="1" applyAlignment="1">
      <alignment horizontal="center"/>
      <protection/>
    </xf>
    <xf numFmtId="6" fontId="7" fillId="0" borderId="10" xfId="57" applyNumberFormat="1" applyFont="1" applyBorder="1" applyAlignment="1">
      <alignment/>
      <protection/>
    </xf>
    <xf numFmtId="6" fontId="8" fillId="0" borderId="10" xfId="57" applyNumberFormat="1" applyFont="1" applyBorder="1" applyAlignment="1">
      <alignment horizontal="right"/>
      <protection/>
    </xf>
    <xf numFmtId="0" fontId="9" fillId="0" borderId="0" xfId="57" applyFont="1" applyAlignment="1">
      <alignment/>
      <protection/>
    </xf>
    <xf numFmtId="6" fontId="8" fillId="0" borderId="0" xfId="57" applyNumberFormat="1" applyFont="1" applyAlignment="1">
      <alignment horizontal="center"/>
      <protection/>
    </xf>
    <xf numFmtId="0" fontId="10" fillId="0" borderId="0" xfId="57" applyFont="1" applyAlignment="1">
      <alignment/>
      <protection/>
    </xf>
    <xf numFmtId="6" fontId="9" fillId="0" borderId="0" xfId="57" applyNumberFormat="1" applyFont="1" applyAlignment="1">
      <alignment/>
      <protection/>
    </xf>
    <xf numFmtId="38" fontId="9" fillId="0" borderId="0" xfId="57" applyNumberFormat="1" applyFont="1" applyAlignment="1">
      <alignment/>
      <protection/>
    </xf>
    <xf numFmtId="6" fontId="0" fillId="0" borderId="0" xfId="57" applyNumberFormat="1" applyFont="1">
      <alignment vertical="top"/>
      <protection/>
    </xf>
    <xf numFmtId="164" fontId="9" fillId="0" borderId="0" xfId="57" applyNumberFormat="1" applyFont="1" applyAlignment="1">
      <alignment horizontal="left"/>
      <protection/>
    </xf>
    <xf numFmtId="0" fontId="2" fillId="0" borderId="0" xfId="57" applyFont="1">
      <alignment vertical="top"/>
      <protection/>
    </xf>
    <xf numFmtId="6" fontId="2" fillId="0" borderId="0" xfId="57" applyNumberFormat="1" applyFont="1">
      <alignment vertical="top"/>
      <protection/>
    </xf>
    <xf numFmtId="38" fontId="0" fillId="0" borderId="0" xfId="57" applyNumberFormat="1" applyFont="1">
      <alignment vertical="top"/>
      <protection/>
    </xf>
    <xf numFmtId="164" fontId="7" fillId="0" borderId="0" xfId="57" applyNumberFormat="1" applyFont="1" applyAlignment="1">
      <alignment horizontal="left"/>
      <protection/>
    </xf>
    <xf numFmtId="6" fontId="9" fillId="0" borderId="0" xfId="57" applyNumberFormat="1" applyFont="1">
      <alignment vertical="top"/>
      <protection/>
    </xf>
    <xf numFmtId="38" fontId="9" fillId="0" borderId="0" xfId="57" applyNumberFormat="1" applyFont="1">
      <alignment vertical="top"/>
      <protection/>
    </xf>
    <xf numFmtId="6" fontId="0" fillId="0" borderId="0" xfId="57" applyNumberFormat="1" applyFont="1" applyAlignment="1">
      <alignment wrapText="1"/>
      <protection/>
    </xf>
    <xf numFmtId="165" fontId="0" fillId="0" borderId="0" xfId="57" applyNumberFormat="1" applyAlignment="1">
      <alignment/>
      <protection/>
    </xf>
    <xf numFmtId="165" fontId="0" fillId="0" borderId="0" xfId="57" applyNumberFormat="1" applyBorder="1" applyAlignment="1">
      <alignment/>
      <protection/>
    </xf>
    <xf numFmtId="165" fontId="2" fillId="0" borderId="0" xfId="57" applyNumberFormat="1" applyFont="1" applyBorder="1">
      <alignment vertical="top"/>
      <protection/>
    </xf>
    <xf numFmtId="165" fontId="0" fillId="0" borderId="0" xfId="57" applyNumberFormat="1" applyAlignment="1">
      <alignment horizontal="center"/>
      <protection/>
    </xf>
    <xf numFmtId="6" fontId="0" fillId="0" borderId="0" xfId="57" applyNumberFormat="1" applyBorder="1" applyAlignment="1">
      <alignment/>
      <protection/>
    </xf>
    <xf numFmtId="6" fontId="2" fillId="0" borderId="0" xfId="57" applyNumberFormat="1" applyFont="1" applyBorder="1">
      <alignment vertical="top"/>
      <protection/>
    </xf>
    <xf numFmtId="6" fontId="7" fillId="0" borderId="11" xfId="57" applyNumberFormat="1" applyFont="1" applyBorder="1" applyAlignment="1">
      <alignment/>
      <protection/>
    </xf>
    <xf numFmtId="6" fontId="7" fillId="0" borderId="0" xfId="57" applyNumberFormat="1" applyFont="1" applyAlignment="1">
      <alignment/>
      <protection/>
    </xf>
    <xf numFmtId="38" fontId="7" fillId="0" borderId="11" xfId="57" applyNumberFormat="1" applyFont="1" applyBorder="1" applyAlignment="1">
      <alignment/>
      <protection/>
    </xf>
    <xf numFmtId="6" fontId="14" fillId="0" borderId="11" xfId="57" applyNumberFormat="1" applyFont="1" applyBorder="1">
      <alignment vertical="top"/>
      <protection/>
    </xf>
    <xf numFmtId="164" fontId="7" fillId="0" borderId="0" xfId="57" applyNumberFormat="1" applyFont="1" applyAlignment="1">
      <alignment horizontal="center"/>
      <protection/>
    </xf>
    <xf numFmtId="0" fontId="8" fillId="0" borderId="0" xfId="57" applyFont="1" applyAlignment="1">
      <alignment horizontal="center"/>
      <protection/>
    </xf>
    <xf numFmtId="6" fontId="8" fillId="0" borderId="0" xfId="57" applyNumberFormat="1" applyFont="1" applyBorder="1" applyAlignment="1">
      <alignment horizontal="center"/>
      <protection/>
    </xf>
    <xf numFmtId="38" fontId="8" fillId="0" borderId="10" xfId="57" applyNumberFormat="1" applyFont="1" applyBorder="1" applyAlignment="1">
      <alignment horizontal="center"/>
      <protection/>
    </xf>
    <xf numFmtId="164" fontId="8" fillId="0" borderId="10" xfId="57" applyNumberFormat="1" applyFont="1" applyBorder="1" applyAlignment="1">
      <alignment horizontal="center"/>
      <protection/>
    </xf>
    <xf numFmtId="38" fontId="8" fillId="0" borderId="0" xfId="57" applyNumberFormat="1" applyFont="1" applyAlignment="1">
      <alignment horizontal="center"/>
      <protection/>
    </xf>
    <xf numFmtId="164" fontId="8" fillId="0" borderId="0" xfId="57" applyNumberFormat="1" applyFont="1" applyAlignment="1">
      <alignment horizontal="center"/>
      <protection/>
    </xf>
    <xf numFmtId="0" fontId="0" fillId="0" borderId="0" xfId="57" applyAlignment="1">
      <alignment horizontal="center"/>
      <protection/>
    </xf>
    <xf numFmtId="6" fontId="0" fillId="0" borderId="0" xfId="57" applyNumberFormat="1" applyAlignment="1">
      <alignment horizontal="center"/>
      <protection/>
    </xf>
    <xf numFmtId="38" fontId="0" fillId="0" borderId="0" xfId="57" applyNumberFormat="1" applyAlignment="1">
      <alignment horizontal="center"/>
      <protection/>
    </xf>
    <xf numFmtId="6" fontId="2" fillId="0" borderId="0" xfId="57" applyNumberFormat="1" applyFont="1" applyAlignment="1">
      <alignment horizontal="center"/>
      <protection/>
    </xf>
    <xf numFmtId="6" fontId="0" fillId="0" borderId="0" xfId="57" applyNumberFormat="1" applyAlignment="1">
      <alignment horizontal="left"/>
      <protection/>
    </xf>
    <xf numFmtId="0" fontId="0" fillId="0" borderId="0" xfId="57" applyFont="1" applyAlignment="1">
      <alignment horizontal="center"/>
      <protection/>
    </xf>
    <xf numFmtId="6" fontId="6" fillId="0" borderId="0" xfId="57" applyNumberFormat="1" applyFont="1" applyAlignment="1">
      <alignment horizontal="center"/>
      <protection/>
    </xf>
    <xf numFmtId="10" fontId="0" fillId="0" borderId="0" xfId="57" applyNumberFormat="1" applyFont="1" applyBorder="1" applyAlignment="1">
      <alignment horizontal="center"/>
      <protection/>
    </xf>
    <xf numFmtId="6" fontId="2" fillId="0" borderId="0" xfId="61" applyNumberFormat="1" applyFont="1">
      <alignment vertical="top"/>
      <protection/>
    </xf>
    <xf numFmtId="38" fontId="0" fillId="0" borderId="0" xfId="61" applyNumberFormat="1" applyFont="1">
      <alignment vertical="top"/>
      <protection/>
    </xf>
    <xf numFmtId="164" fontId="0" fillId="0" borderId="0" xfId="57" applyNumberFormat="1" applyFont="1" applyAlignment="1">
      <alignment horizontal="left" vertical="center"/>
      <protection/>
    </xf>
    <xf numFmtId="6" fontId="8" fillId="0" borderId="10" xfId="57" applyNumberFormat="1" applyFont="1" applyBorder="1" applyAlignment="1">
      <alignment horizontal="center"/>
      <protection/>
    </xf>
    <xf numFmtId="164" fontId="7" fillId="33" borderId="12" xfId="57" applyNumberFormat="1" applyFont="1" applyFill="1" applyBorder="1" applyAlignment="1">
      <alignment horizontal="center"/>
      <protection/>
    </xf>
    <xf numFmtId="164" fontId="7" fillId="33" borderId="13" xfId="57" applyNumberFormat="1" applyFont="1" applyFill="1" applyBorder="1" applyAlignment="1">
      <alignment horizontal="center"/>
      <protection/>
    </xf>
    <xf numFmtId="6" fontId="7" fillId="33" borderId="12" xfId="57" applyNumberFormat="1" applyFont="1" applyFill="1" applyBorder="1" applyAlignment="1">
      <alignment horizontal="center"/>
      <protection/>
    </xf>
    <xf numFmtId="6" fontId="7" fillId="33" borderId="13" xfId="57" applyNumberFormat="1" applyFont="1" applyFill="1" applyBorder="1" applyAlignment="1">
      <alignment horizontal="center"/>
      <protection/>
    </xf>
    <xf numFmtId="0" fontId="0" fillId="0" borderId="0" xfId="57" applyNumberFormat="1" applyFont="1" applyAlignment="1">
      <alignment horizontal="left" wrapText="1"/>
      <protection/>
    </xf>
    <xf numFmtId="6" fontId="1" fillId="0" borderId="0" xfId="57" applyNumberFormat="1" applyFont="1" applyAlignment="1">
      <alignment horizontal="center"/>
      <protection/>
    </xf>
    <xf numFmtId="6" fontId="3" fillId="0" borderId="0" xfId="57" applyNumberFormat="1" applyFont="1" applyAlignment="1">
      <alignment horizontal="center"/>
      <protection/>
    </xf>
    <xf numFmtId="6" fontId="5" fillId="0" borderId="0" xfId="53" applyNumberFormat="1" applyAlignment="1" applyProtection="1">
      <alignment horizontal="center"/>
      <protection/>
    </xf>
    <xf numFmtId="6" fontId="4" fillId="0" borderId="0" xfId="53" applyNumberFormat="1" applyFont="1" applyAlignment="1" applyProtection="1">
      <alignment horizontal="center"/>
      <protection/>
    </xf>
    <xf numFmtId="6" fontId="6" fillId="0" borderId="0" xfId="57" applyNumberFormat="1" applyFont="1" applyAlignment="1">
      <alignment horizontal="center"/>
      <protection/>
    </xf>
    <xf numFmtId="164" fontId="7" fillId="33" borderId="14" xfId="57" applyNumberFormat="1" applyFont="1" applyFill="1" applyBorder="1" applyAlignment="1">
      <alignment horizontal="center"/>
      <protection/>
    </xf>
    <xf numFmtId="6" fontId="7" fillId="33" borderId="14" xfId="57" applyNumberFormat="1" applyFont="1" applyFill="1" applyBorder="1" applyAlignment="1">
      <alignment horizontal="center"/>
      <protection/>
    </xf>
    <xf numFmtId="6" fontId="8" fillId="0" borderId="10" xfId="0" applyNumberFormat="1" applyFont="1" applyBorder="1" applyAlignment="1">
      <alignment horizontal="center"/>
    </xf>
    <xf numFmtId="164" fontId="7" fillId="33" borderId="12" xfId="0" applyNumberFormat="1" applyFont="1" applyFill="1" applyBorder="1" applyAlignment="1">
      <alignment horizontal="center"/>
    </xf>
    <xf numFmtId="164" fontId="7" fillId="33" borderId="13" xfId="0" applyNumberFormat="1" applyFont="1" applyFill="1" applyBorder="1" applyAlignment="1">
      <alignment horizontal="center"/>
    </xf>
    <xf numFmtId="164" fontId="7" fillId="33" borderId="14" xfId="0" applyNumberFormat="1" applyFont="1" applyFill="1" applyBorder="1" applyAlignment="1">
      <alignment horizontal="center"/>
    </xf>
    <xf numFmtId="6" fontId="7" fillId="33" borderId="12" xfId="0" applyNumberFormat="1" applyFont="1" applyFill="1" applyBorder="1" applyAlignment="1">
      <alignment horizontal="center"/>
    </xf>
    <xf numFmtId="6" fontId="7" fillId="33" borderId="13" xfId="0" applyNumberFormat="1" applyFont="1" applyFill="1" applyBorder="1" applyAlignment="1">
      <alignment horizontal="center"/>
    </xf>
    <xf numFmtId="6" fontId="7" fillId="33" borderId="14" xfId="0" applyNumberFormat="1" applyFont="1" applyFill="1" applyBorder="1" applyAlignment="1">
      <alignment horizontal="center"/>
    </xf>
    <xf numFmtId="0" fontId="0" fillId="0" borderId="0" xfId="0" applyNumberFormat="1" applyFont="1" applyAlignment="1">
      <alignment horizontal="left" wrapText="1"/>
    </xf>
    <xf numFmtId="0" fontId="0" fillId="0" borderId="0" xfId="0" applyNumberFormat="1" applyFont="1" applyAlignment="1">
      <alignment horizontal="left" wrapText="1"/>
    </xf>
    <xf numFmtId="6" fontId="1" fillId="0" borderId="0" xfId="0" applyNumberFormat="1" applyFont="1" applyAlignment="1">
      <alignment horizontal="center"/>
    </xf>
    <xf numFmtId="6" fontId="3" fillId="0" borderId="0" xfId="0" applyNumberFormat="1" applyFont="1" applyAlignment="1">
      <alignment horizontal="center"/>
    </xf>
    <xf numFmtId="6" fontId="6" fillId="0" borderId="0" xfId="0"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171450</xdr:rowOff>
    </xdr:from>
    <xdr:to>
      <xdr:col>1</xdr:col>
      <xdr:colOff>942975</xdr:colOff>
      <xdr:row>5</xdr:row>
      <xdr:rowOff>142875</xdr:rowOff>
    </xdr:to>
    <xdr:pic>
      <xdr:nvPicPr>
        <xdr:cNvPr id="1" name="Picture 2"/>
        <xdr:cNvPicPr preferRelativeResize="1">
          <a:picLocks noChangeAspect="1"/>
        </xdr:cNvPicPr>
      </xdr:nvPicPr>
      <xdr:blipFill>
        <a:blip r:embed="rId1"/>
        <a:stretch>
          <a:fillRect/>
        </a:stretch>
      </xdr:blipFill>
      <xdr:spPr>
        <a:xfrm>
          <a:off x="400050" y="171450"/>
          <a:ext cx="1162050"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171450</xdr:rowOff>
    </xdr:from>
    <xdr:to>
      <xdr:col>2</xdr:col>
      <xdr:colOff>0</xdr:colOff>
      <xdr:row>5</xdr:row>
      <xdr:rowOff>142875</xdr:rowOff>
    </xdr:to>
    <xdr:pic>
      <xdr:nvPicPr>
        <xdr:cNvPr id="1" name="Picture 2"/>
        <xdr:cNvPicPr preferRelativeResize="1">
          <a:picLocks noChangeAspect="1"/>
        </xdr:cNvPicPr>
      </xdr:nvPicPr>
      <xdr:blipFill>
        <a:blip r:embed="rId1"/>
        <a:stretch>
          <a:fillRect/>
        </a:stretch>
      </xdr:blipFill>
      <xdr:spPr>
        <a:xfrm>
          <a:off x="400050" y="171450"/>
          <a:ext cx="1162050"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171450</xdr:rowOff>
    </xdr:from>
    <xdr:to>
      <xdr:col>2</xdr:col>
      <xdr:colOff>0</xdr:colOff>
      <xdr:row>5</xdr:row>
      <xdr:rowOff>142875</xdr:rowOff>
    </xdr:to>
    <xdr:pic>
      <xdr:nvPicPr>
        <xdr:cNvPr id="1" name="Picture 2"/>
        <xdr:cNvPicPr preferRelativeResize="1">
          <a:picLocks noChangeAspect="1"/>
        </xdr:cNvPicPr>
      </xdr:nvPicPr>
      <xdr:blipFill>
        <a:blip r:embed="rId1"/>
        <a:stretch>
          <a:fillRect/>
        </a:stretch>
      </xdr:blipFill>
      <xdr:spPr>
        <a:xfrm>
          <a:off x="400050" y="171450"/>
          <a:ext cx="1162050" cy="923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200025</xdr:rowOff>
    </xdr:from>
    <xdr:to>
      <xdr:col>1</xdr:col>
      <xdr:colOff>942975</xdr:colOff>
      <xdr:row>5</xdr:row>
      <xdr:rowOff>142875</xdr:rowOff>
    </xdr:to>
    <xdr:pic>
      <xdr:nvPicPr>
        <xdr:cNvPr id="1" name="Picture 1" descr="hamburgCasino"/>
        <xdr:cNvPicPr preferRelativeResize="1">
          <a:picLocks noChangeAspect="1"/>
        </xdr:cNvPicPr>
      </xdr:nvPicPr>
      <xdr:blipFill>
        <a:blip r:embed="rId1"/>
        <a:stretch>
          <a:fillRect/>
        </a:stretch>
      </xdr:blipFill>
      <xdr:spPr>
        <a:xfrm>
          <a:off x="447675" y="200025"/>
          <a:ext cx="1114425" cy="914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200025</xdr:rowOff>
    </xdr:from>
    <xdr:to>
      <xdr:col>1</xdr:col>
      <xdr:colOff>942975</xdr:colOff>
      <xdr:row>5</xdr:row>
      <xdr:rowOff>142875</xdr:rowOff>
    </xdr:to>
    <xdr:pic>
      <xdr:nvPicPr>
        <xdr:cNvPr id="1" name="Picture 1" descr="hamburgCasino"/>
        <xdr:cNvPicPr preferRelativeResize="1">
          <a:picLocks noChangeAspect="1"/>
        </xdr:cNvPicPr>
      </xdr:nvPicPr>
      <xdr:blipFill>
        <a:blip r:embed="rId1"/>
        <a:stretch>
          <a:fillRect/>
        </a:stretch>
      </xdr:blipFill>
      <xdr:spPr>
        <a:xfrm>
          <a:off x="447675" y="200025"/>
          <a:ext cx="1114425" cy="914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200025</xdr:rowOff>
    </xdr:from>
    <xdr:to>
      <xdr:col>1</xdr:col>
      <xdr:colOff>942975</xdr:colOff>
      <xdr:row>5</xdr:row>
      <xdr:rowOff>142875</xdr:rowOff>
    </xdr:to>
    <xdr:pic>
      <xdr:nvPicPr>
        <xdr:cNvPr id="1" name="Picture 2" descr="hamburgCasino"/>
        <xdr:cNvPicPr preferRelativeResize="1">
          <a:picLocks noChangeAspect="1"/>
        </xdr:cNvPicPr>
      </xdr:nvPicPr>
      <xdr:blipFill>
        <a:blip r:embed="rId1"/>
        <a:stretch>
          <a:fillRect/>
        </a:stretch>
      </xdr:blipFill>
      <xdr:spPr>
        <a:xfrm>
          <a:off x="447675" y="200025"/>
          <a:ext cx="1114425" cy="914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57150</xdr:rowOff>
    </xdr:from>
    <xdr:to>
      <xdr:col>2</xdr:col>
      <xdr:colOff>76200</xdr:colOff>
      <xdr:row>5</xdr:row>
      <xdr:rowOff>180975</xdr:rowOff>
    </xdr:to>
    <xdr:pic>
      <xdr:nvPicPr>
        <xdr:cNvPr id="1" name="Picture 1"/>
        <xdr:cNvPicPr preferRelativeResize="1">
          <a:picLocks noChangeAspect="1"/>
        </xdr:cNvPicPr>
      </xdr:nvPicPr>
      <xdr:blipFill>
        <a:blip r:embed="rId1"/>
        <a:stretch>
          <a:fillRect/>
        </a:stretch>
      </xdr:blipFill>
      <xdr:spPr>
        <a:xfrm>
          <a:off x="342900" y="57150"/>
          <a:ext cx="1295400" cy="10953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57150</xdr:rowOff>
    </xdr:from>
    <xdr:to>
      <xdr:col>1</xdr:col>
      <xdr:colOff>942975</xdr:colOff>
      <xdr:row>5</xdr:row>
      <xdr:rowOff>180975</xdr:rowOff>
    </xdr:to>
    <xdr:pic>
      <xdr:nvPicPr>
        <xdr:cNvPr id="1" name="Picture 1"/>
        <xdr:cNvPicPr preferRelativeResize="1">
          <a:picLocks noChangeAspect="1"/>
        </xdr:cNvPicPr>
      </xdr:nvPicPr>
      <xdr:blipFill>
        <a:blip r:embed="rId1"/>
        <a:stretch>
          <a:fillRect/>
        </a:stretch>
      </xdr:blipFill>
      <xdr:spPr>
        <a:xfrm>
          <a:off x="200025" y="57150"/>
          <a:ext cx="1362075" cy="10953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57150</xdr:rowOff>
    </xdr:from>
    <xdr:to>
      <xdr:col>1</xdr:col>
      <xdr:colOff>942975</xdr:colOff>
      <xdr:row>5</xdr:row>
      <xdr:rowOff>180975</xdr:rowOff>
    </xdr:to>
    <xdr:pic>
      <xdr:nvPicPr>
        <xdr:cNvPr id="1" name="Picture 1"/>
        <xdr:cNvPicPr preferRelativeResize="1">
          <a:picLocks noChangeAspect="1"/>
        </xdr:cNvPicPr>
      </xdr:nvPicPr>
      <xdr:blipFill>
        <a:blip r:embed="rId1"/>
        <a:stretch>
          <a:fillRect/>
        </a:stretch>
      </xdr:blipFill>
      <xdr:spPr>
        <a:xfrm>
          <a:off x="200025" y="57150"/>
          <a:ext cx="1362075" cy="10953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57150</xdr:rowOff>
    </xdr:from>
    <xdr:to>
      <xdr:col>1</xdr:col>
      <xdr:colOff>942975</xdr:colOff>
      <xdr:row>5</xdr:row>
      <xdr:rowOff>180975</xdr:rowOff>
    </xdr:to>
    <xdr:pic>
      <xdr:nvPicPr>
        <xdr:cNvPr id="1" name="Picture 1"/>
        <xdr:cNvPicPr preferRelativeResize="1">
          <a:picLocks noChangeAspect="1"/>
        </xdr:cNvPicPr>
      </xdr:nvPicPr>
      <xdr:blipFill>
        <a:blip r:embed="rId1"/>
        <a:stretch>
          <a:fillRect/>
        </a:stretch>
      </xdr:blipFill>
      <xdr:spPr>
        <a:xfrm>
          <a:off x="200025" y="57150"/>
          <a:ext cx="1362075" cy="10953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57150</xdr:rowOff>
    </xdr:from>
    <xdr:to>
      <xdr:col>1</xdr:col>
      <xdr:colOff>942975</xdr:colOff>
      <xdr:row>5</xdr:row>
      <xdr:rowOff>180975</xdr:rowOff>
    </xdr:to>
    <xdr:pic>
      <xdr:nvPicPr>
        <xdr:cNvPr id="1" name="Picture 1"/>
        <xdr:cNvPicPr preferRelativeResize="1">
          <a:picLocks noChangeAspect="1"/>
        </xdr:cNvPicPr>
      </xdr:nvPicPr>
      <xdr:blipFill>
        <a:blip r:embed="rId1"/>
        <a:stretch>
          <a:fillRect/>
        </a:stretch>
      </xdr:blipFill>
      <xdr:spPr>
        <a:xfrm>
          <a:off x="200025" y="57150"/>
          <a:ext cx="13620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171450</xdr:rowOff>
    </xdr:from>
    <xdr:to>
      <xdr:col>2</xdr:col>
      <xdr:colOff>0</xdr:colOff>
      <xdr:row>5</xdr:row>
      <xdr:rowOff>142875</xdr:rowOff>
    </xdr:to>
    <xdr:pic>
      <xdr:nvPicPr>
        <xdr:cNvPr id="1" name="Picture 2"/>
        <xdr:cNvPicPr preferRelativeResize="1">
          <a:picLocks noChangeAspect="1"/>
        </xdr:cNvPicPr>
      </xdr:nvPicPr>
      <xdr:blipFill>
        <a:blip r:embed="rId1"/>
        <a:stretch>
          <a:fillRect/>
        </a:stretch>
      </xdr:blipFill>
      <xdr:spPr>
        <a:xfrm>
          <a:off x="400050" y="171450"/>
          <a:ext cx="11620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57150</xdr:rowOff>
    </xdr:from>
    <xdr:to>
      <xdr:col>1</xdr:col>
      <xdr:colOff>942975</xdr:colOff>
      <xdr:row>5</xdr:row>
      <xdr:rowOff>180975</xdr:rowOff>
    </xdr:to>
    <xdr:pic>
      <xdr:nvPicPr>
        <xdr:cNvPr id="1" name="Picture 1"/>
        <xdr:cNvPicPr preferRelativeResize="1">
          <a:picLocks noChangeAspect="1"/>
        </xdr:cNvPicPr>
      </xdr:nvPicPr>
      <xdr:blipFill>
        <a:blip r:embed="rId1"/>
        <a:stretch>
          <a:fillRect/>
        </a:stretch>
      </xdr:blipFill>
      <xdr:spPr>
        <a:xfrm>
          <a:off x="200025" y="57150"/>
          <a:ext cx="1362075" cy="10953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57150</xdr:rowOff>
    </xdr:from>
    <xdr:to>
      <xdr:col>1</xdr:col>
      <xdr:colOff>942975</xdr:colOff>
      <xdr:row>5</xdr:row>
      <xdr:rowOff>180975</xdr:rowOff>
    </xdr:to>
    <xdr:pic>
      <xdr:nvPicPr>
        <xdr:cNvPr id="1" name="Picture 1"/>
        <xdr:cNvPicPr preferRelativeResize="1">
          <a:picLocks noChangeAspect="1"/>
        </xdr:cNvPicPr>
      </xdr:nvPicPr>
      <xdr:blipFill>
        <a:blip r:embed="rId1"/>
        <a:stretch>
          <a:fillRect/>
        </a:stretch>
      </xdr:blipFill>
      <xdr:spPr>
        <a:xfrm>
          <a:off x="200025" y="57150"/>
          <a:ext cx="1362075"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171450</xdr:rowOff>
    </xdr:from>
    <xdr:to>
      <xdr:col>2</xdr:col>
      <xdr:colOff>0</xdr:colOff>
      <xdr:row>5</xdr:row>
      <xdr:rowOff>142875</xdr:rowOff>
    </xdr:to>
    <xdr:pic>
      <xdr:nvPicPr>
        <xdr:cNvPr id="1" name="Picture 2"/>
        <xdr:cNvPicPr preferRelativeResize="1">
          <a:picLocks noChangeAspect="1"/>
        </xdr:cNvPicPr>
      </xdr:nvPicPr>
      <xdr:blipFill>
        <a:blip r:embed="rId1"/>
        <a:stretch>
          <a:fillRect/>
        </a:stretch>
      </xdr:blipFill>
      <xdr:spPr>
        <a:xfrm>
          <a:off x="400050" y="171450"/>
          <a:ext cx="11620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171450</xdr:rowOff>
    </xdr:from>
    <xdr:to>
      <xdr:col>2</xdr:col>
      <xdr:colOff>0</xdr:colOff>
      <xdr:row>5</xdr:row>
      <xdr:rowOff>142875</xdr:rowOff>
    </xdr:to>
    <xdr:pic>
      <xdr:nvPicPr>
        <xdr:cNvPr id="1" name="Picture 2"/>
        <xdr:cNvPicPr preferRelativeResize="1">
          <a:picLocks noChangeAspect="1"/>
        </xdr:cNvPicPr>
      </xdr:nvPicPr>
      <xdr:blipFill>
        <a:blip r:embed="rId1"/>
        <a:stretch>
          <a:fillRect/>
        </a:stretch>
      </xdr:blipFill>
      <xdr:spPr>
        <a:xfrm>
          <a:off x="400050" y="171450"/>
          <a:ext cx="116205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171450</xdr:rowOff>
    </xdr:from>
    <xdr:to>
      <xdr:col>2</xdr:col>
      <xdr:colOff>0</xdr:colOff>
      <xdr:row>5</xdr:row>
      <xdr:rowOff>142875</xdr:rowOff>
    </xdr:to>
    <xdr:pic>
      <xdr:nvPicPr>
        <xdr:cNvPr id="1" name="Picture 2"/>
        <xdr:cNvPicPr preferRelativeResize="1">
          <a:picLocks noChangeAspect="1"/>
        </xdr:cNvPicPr>
      </xdr:nvPicPr>
      <xdr:blipFill>
        <a:blip r:embed="rId1"/>
        <a:stretch>
          <a:fillRect/>
        </a:stretch>
      </xdr:blipFill>
      <xdr:spPr>
        <a:xfrm>
          <a:off x="400050" y="171450"/>
          <a:ext cx="11620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171450</xdr:rowOff>
    </xdr:from>
    <xdr:to>
      <xdr:col>2</xdr:col>
      <xdr:colOff>0</xdr:colOff>
      <xdr:row>5</xdr:row>
      <xdr:rowOff>142875</xdr:rowOff>
    </xdr:to>
    <xdr:pic>
      <xdr:nvPicPr>
        <xdr:cNvPr id="1" name="Picture 2"/>
        <xdr:cNvPicPr preferRelativeResize="1">
          <a:picLocks noChangeAspect="1"/>
        </xdr:cNvPicPr>
      </xdr:nvPicPr>
      <xdr:blipFill>
        <a:blip r:embed="rId1"/>
        <a:stretch>
          <a:fillRect/>
        </a:stretch>
      </xdr:blipFill>
      <xdr:spPr>
        <a:xfrm>
          <a:off x="400050" y="171450"/>
          <a:ext cx="1162050"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171450</xdr:rowOff>
    </xdr:from>
    <xdr:to>
      <xdr:col>2</xdr:col>
      <xdr:colOff>0</xdr:colOff>
      <xdr:row>5</xdr:row>
      <xdr:rowOff>142875</xdr:rowOff>
    </xdr:to>
    <xdr:pic>
      <xdr:nvPicPr>
        <xdr:cNvPr id="1" name="Picture 2"/>
        <xdr:cNvPicPr preferRelativeResize="1">
          <a:picLocks noChangeAspect="1"/>
        </xdr:cNvPicPr>
      </xdr:nvPicPr>
      <xdr:blipFill>
        <a:blip r:embed="rId1"/>
        <a:stretch>
          <a:fillRect/>
        </a:stretch>
      </xdr:blipFill>
      <xdr:spPr>
        <a:xfrm>
          <a:off x="400050" y="171450"/>
          <a:ext cx="1162050"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171450</xdr:rowOff>
    </xdr:from>
    <xdr:to>
      <xdr:col>2</xdr:col>
      <xdr:colOff>0</xdr:colOff>
      <xdr:row>5</xdr:row>
      <xdr:rowOff>142875</xdr:rowOff>
    </xdr:to>
    <xdr:pic>
      <xdr:nvPicPr>
        <xdr:cNvPr id="1" name="Picture 2"/>
        <xdr:cNvPicPr preferRelativeResize="1">
          <a:picLocks noChangeAspect="1"/>
        </xdr:cNvPicPr>
      </xdr:nvPicPr>
      <xdr:blipFill>
        <a:blip r:embed="rId1"/>
        <a:stretch>
          <a:fillRect/>
        </a:stretch>
      </xdr:blipFill>
      <xdr:spPr>
        <a:xfrm>
          <a:off x="400050" y="171450"/>
          <a:ext cx="1162050"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171450</xdr:rowOff>
    </xdr:from>
    <xdr:to>
      <xdr:col>2</xdr:col>
      <xdr:colOff>0</xdr:colOff>
      <xdr:row>5</xdr:row>
      <xdr:rowOff>142875</xdr:rowOff>
    </xdr:to>
    <xdr:pic>
      <xdr:nvPicPr>
        <xdr:cNvPr id="1" name="Picture 2"/>
        <xdr:cNvPicPr preferRelativeResize="1">
          <a:picLocks noChangeAspect="1"/>
        </xdr:cNvPicPr>
      </xdr:nvPicPr>
      <xdr:blipFill>
        <a:blip r:embed="rId1"/>
        <a:stretch>
          <a:fillRect/>
        </a:stretch>
      </xdr:blipFill>
      <xdr:spPr>
        <a:xfrm>
          <a:off x="400050" y="171450"/>
          <a:ext cx="11620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he-fairgrounds.com/gaming.php"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70"/>
  <sheetViews>
    <sheetView tabSelected="1" zoomScale="90" zoomScaleNormal="90" zoomScalePageLayoutView="0" workbookViewId="0" topLeftCell="A1">
      <selection activeCell="I26" sqref="I26:K26"/>
    </sheetView>
  </sheetViews>
  <sheetFormatPr defaultColWidth="9.140625" defaultRowHeight="12.75"/>
  <cols>
    <col min="1" max="1" width="9.28125" style="72" customWidth="1"/>
    <col min="2" max="2" width="16.8515625" style="70" bestFit="1" customWidth="1"/>
    <col min="3" max="3" width="13.421875" style="70" customWidth="1"/>
    <col min="4" max="4" width="14.140625" style="70" customWidth="1"/>
    <col min="5" max="5" width="12.7109375" style="70" customWidth="1"/>
    <col min="6" max="6" width="9.7109375" style="71" customWidth="1"/>
    <col min="7" max="7" width="10.28125" style="70" customWidth="1"/>
    <col min="8" max="8" width="2.28125" style="70" customWidth="1"/>
    <col min="9" max="10" width="13.00390625" style="70" customWidth="1"/>
    <col min="11" max="11" width="13.7109375" style="70" customWidth="1"/>
    <col min="12" max="12" width="12.7109375" style="69" customWidth="1"/>
    <col min="13" max="16384" width="9.140625" style="69" customWidth="1"/>
  </cols>
  <sheetData>
    <row r="1" spans="1:11" ht="18">
      <c r="A1" s="136" t="s">
        <v>102</v>
      </c>
      <c r="B1" s="136"/>
      <c r="C1" s="136"/>
      <c r="D1" s="136"/>
      <c r="E1" s="136"/>
      <c r="F1" s="136"/>
      <c r="G1" s="136"/>
      <c r="H1" s="136"/>
      <c r="I1" s="136"/>
      <c r="J1" s="136"/>
      <c r="K1" s="136"/>
    </row>
    <row r="2" spans="1:11" ht="15">
      <c r="A2" s="137" t="s">
        <v>1</v>
      </c>
      <c r="B2" s="137"/>
      <c r="C2" s="137"/>
      <c r="D2" s="137"/>
      <c r="E2" s="137"/>
      <c r="F2" s="137"/>
      <c r="G2" s="137"/>
      <c r="H2" s="137"/>
      <c r="I2" s="137"/>
      <c r="J2" s="137"/>
      <c r="K2" s="137"/>
    </row>
    <row r="3" spans="1:11" s="119" customFormat="1" ht="15">
      <c r="A3" s="137" t="s">
        <v>2</v>
      </c>
      <c r="B3" s="137"/>
      <c r="C3" s="137"/>
      <c r="D3" s="137"/>
      <c r="E3" s="137"/>
      <c r="F3" s="137"/>
      <c r="G3" s="137"/>
      <c r="H3" s="137"/>
      <c r="I3" s="137"/>
      <c r="J3" s="137"/>
      <c r="K3" s="137"/>
    </row>
    <row r="4" spans="1:11" s="119" customFormat="1" ht="12.75">
      <c r="A4" s="138" t="s">
        <v>3</v>
      </c>
      <c r="B4" s="139"/>
      <c r="C4" s="139"/>
      <c r="D4" s="139"/>
      <c r="E4" s="139"/>
      <c r="F4" s="139"/>
      <c r="G4" s="139"/>
      <c r="H4" s="139"/>
      <c r="I4" s="139"/>
      <c r="J4" s="139"/>
      <c r="K4" s="139"/>
    </row>
    <row r="5" spans="1:11" s="119" customFormat="1" ht="14.25">
      <c r="A5" s="140" t="s">
        <v>4</v>
      </c>
      <c r="B5" s="140"/>
      <c r="C5" s="140"/>
      <c r="D5" s="140"/>
      <c r="E5" s="140"/>
      <c r="F5" s="140"/>
      <c r="G5" s="140"/>
      <c r="H5" s="140"/>
      <c r="I5" s="140"/>
      <c r="J5" s="140"/>
      <c r="K5" s="140"/>
    </row>
    <row r="6" spans="1:11" s="119" customFormat="1" ht="14.25">
      <c r="A6" s="125"/>
      <c r="B6" s="125"/>
      <c r="C6" s="125"/>
      <c r="D6" s="125"/>
      <c r="E6" s="125"/>
      <c r="F6" s="125"/>
      <c r="G6" s="125"/>
      <c r="H6" s="125"/>
      <c r="I6" s="125"/>
      <c r="J6" s="125"/>
      <c r="K6" s="125"/>
    </row>
    <row r="7" spans="1:11" s="119" customFormat="1" ht="12.75">
      <c r="A7" s="72"/>
      <c r="B7" s="123"/>
      <c r="C7" s="123"/>
      <c r="D7" s="123"/>
      <c r="E7" s="120"/>
      <c r="F7" s="121"/>
      <c r="G7" s="120"/>
      <c r="H7" s="120"/>
      <c r="I7" s="120"/>
      <c r="J7" s="120"/>
      <c r="K7" s="120"/>
    </row>
    <row r="8" spans="1:11" s="124" customFormat="1" ht="14.25" customHeight="1">
      <c r="A8" s="131" t="s">
        <v>130</v>
      </c>
      <c r="B8" s="132"/>
      <c r="C8" s="132"/>
      <c r="D8" s="132"/>
      <c r="E8" s="132"/>
      <c r="F8" s="132"/>
      <c r="G8" s="132"/>
      <c r="H8" s="132"/>
      <c r="I8" s="132"/>
      <c r="J8" s="132"/>
      <c r="K8" s="132"/>
    </row>
    <row r="9" spans="1:11" s="119" customFormat="1" ht="9" customHeight="1">
      <c r="A9" s="72"/>
      <c r="B9" s="123"/>
      <c r="C9" s="123"/>
      <c r="D9" s="123"/>
      <c r="E9" s="120"/>
      <c r="F9" s="121"/>
      <c r="G9" s="120"/>
      <c r="H9" s="120"/>
      <c r="I9" s="120"/>
      <c r="J9" s="120"/>
      <c r="K9" s="120"/>
    </row>
    <row r="10" spans="1:11" s="119" customFormat="1" ht="12.75">
      <c r="A10" s="72"/>
      <c r="B10" s="120"/>
      <c r="C10" s="120"/>
      <c r="D10" s="120"/>
      <c r="E10" s="120"/>
      <c r="F10" s="121"/>
      <c r="G10" s="120"/>
      <c r="H10" s="120"/>
      <c r="I10" s="130" t="s">
        <v>6</v>
      </c>
      <c r="J10" s="130"/>
      <c r="K10" s="130"/>
    </row>
    <row r="11" spans="1:11" s="119" customFormat="1" ht="12.75">
      <c r="A11" s="72"/>
      <c r="B11" s="120"/>
      <c r="C11" s="120"/>
      <c r="D11" s="122"/>
      <c r="E11" s="120"/>
      <c r="F11" s="121"/>
      <c r="G11" s="120"/>
      <c r="H11" s="120"/>
      <c r="I11" s="120"/>
      <c r="J11" s="120"/>
      <c r="K11" s="120"/>
    </row>
    <row r="12" spans="1:11" s="113" customFormat="1" ht="12">
      <c r="A12" s="118"/>
      <c r="B12" s="89" t="s">
        <v>7</v>
      </c>
      <c r="C12" s="89" t="s">
        <v>75</v>
      </c>
      <c r="D12" s="89" t="s">
        <v>7</v>
      </c>
      <c r="E12" s="89"/>
      <c r="F12" s="117" t="s">
        <v>8</v>
      </c>
      <c r="G12" s="89" t="s">
        <v>9</v>
      </c>
      <c r="H12" s="89"/>
      <c r="I12" s="89" t="s">
        <v>10</v>
      </c>
      <c r="J12" s="89" t="s">
        <v>83</v>
      </c>
      <c r="K12" s="89" t="s">
        <v>82</v>
      </c>
    </row>
    <row r="13" spans="1:11" s="113" customFormat="1" ht="12">
      <c r="A13" s="116" t="s">
        <v>12</v>
      </c>
      <c r="B13" s="85" t="s">
        <v>13</v>
      </c>
      <c r="C13" s="85" t="s">
        <v>20</v>
      </c>
      <c r="D13" s="85" t="s">
        <v>14</v>
      </c>
      <c r="E13" s="85" t="s">
        <v>15</v>
      </c>
      <c r="F13" s="115" t="s">
        <v>16</v>
      </c>
      <c r="G13" s="85" t="s">
        <v>17</v>
      </c>
      <c r="H13" s="114"/>
      <c r="I13" s="85" t="s">
        <v>18</v>
      </c>
      <c r="J13" s="85" t="s">
        <v>84</v>
      </c>
      <c r="K13" s="85" t="s">
        <v>19</v>
      </c>
    </row>
    <row r="14" ht="12.75">
      <c r="D14" s="96"/>
    </row>
    <row r="15" spans="1:11" ht="12.75">
      <c r="A15" s="72">
        <v>45017</v>
      </c>
      <c r="B15" s="70">
        <v>92318798.61000001</v>
      </c>
      <c r="C15" s="70">
        <v>965974.9900000001</v>
      </c>
      <c r="D15" s="70">
        <f aca="true" t="shared" si="0" ref="D15:D26">IF(ISBLANK(B15),"",B15-C15-E15)</f>
        <v>84451077.88000003</v>
      </c>
      <c r="E15" s="70">
        <v>6901745.740000001</v>
      </c>
      <c r="F15" s="71">
        <v>931</v>
      </c>
      <c r="G15" s="70">
        <f>_xlfn.IFERROR((E15/F15/30)," ")</f>
        <v>247.10869101324747</v>
      </c>
      <c r="I15" s="70">
        <v>2346593.5499999993</v>
      </c>
      <c r="J15" s="70">
        <v>690174.59</v>
      </c>
      <c r="K15" s="70">
        <v>3864977.6399999987</v>
      </c>
    </row>
    <row r="16" spans="1:11" ht="12.75">
      <c r="A16" s="72">
        <v>45047</v>
      </c>
      <c r="B16" s="70">
        <v>87343662.96</v>
      </c>
      <c r="C16" s="70">
        <v>955035.8899999999</v>
      </c>
      <c r="D16" s="70">
        <f t="shared" si="0"/>
        <v>79865253.69999999</v>
      </c>
      <c r="E16" s="70">
        <v>6523373.37</v>
      </c>
      <c r="F16" s="71">
        <v>918</v>
      </c>
      <c r="G16" s="70">
        <f>_xlfn.IFERROR((E16/F16/31)," ")</f>
        <v>229.22810352097827</v>
      </c>
      <c r="I16" s="70">
        <v>2217946.9399999995</v>
      </c>
      <c r="J16" s="70">
        <v>652337.34</v>
      </c>
      <c r="K16" s="70">
        <v>3653089.06</v>
      </c>
    </row>
    <row r="17" spans="1:11" ht="12.75">
      <c r="A17" s="72">
        <v>45078</v>
      </c>
      <c r="B17" s="70">
        <v>88221605.91</v>
      </c>
      <c r="C17" s="70">
        <v>905900.1800000002</v>
      </c>
      <c r="D17" s="70">
        <f>IF(ISBLANK(B17),"",B17-C17-E17)</f>
        <v>80859852.72</v>
      </c>
      <c r="E17" s="70">
        <v>6455853.009999998</v>
      </c>
      <c r="F17" s="71">
        <v>917</v>
      </c>
      <c r="G17" s="70">
        <f aca="true" t="shared" si="1" ref="G17:G22">_xlfn.IFERROR((E17/F17/30)," ")</f>
        <v>234.67295565248995</v>
      </c>
      <c r="I17" s="70">
        <v>2194990.0199999996</v>
      </c>
      <c r="J17" s="70">
        <v>645585.2999999999</v>
      </c>
      <c r="K17" s="70">
        <v>3615277.6800000006</v>
      </c>
    </row>
    <row r="18" spans="1:11" ht="12.75">
      <c r="A18" s="72">
        <v>45108</v>
      </c>
      <c r="B18" s="70">
        <v>95674914.33999997</v>
      </c>
      <c r="C18" s="70">
        <v>965723.1300000001</v>
      </c>
      <c r="D18" s="70">
        <f>IF(ISBLANK(B18),"",B18-C18-E18)</f>
        <v>87825549.53999998</v>
      </c>
      <c r="E18" s="70">
        <v>6883641.670000001</v>
      </c>
      <c r="F18" s="71">
        <v>917</v>
      </c>
      <c r="G18" s="70">
        <f>_xlfn.IFERROR((E18/F18/31)," ")</f>
        <v>242.15153445667855</v>
      </c>
      <c r="I18" s="70">
        <v>2340438.1999999997</v>
      </c>
      <c r="J18" s="70">
        <v>688364.1900000001</v>
      </c>
      <c r="K18" s="70">
        <v>3854839.330000001</v>
      </c>
    </row>
    <row r="19" spans="1:11" ht="12.75">
      <c r="A19" s="72">
        <v>45139</v>
      </c>
      <c r="B19" s="70">
        <v>80371801.94</v>
      </c>
      <c r="C19" s="70">
        <v>909805.55</v>
      </c>
      <c r="D19" s="70">
        <f>IF(ISBLANK(B19),"",B19-C19-E19)</f>
        <v>73592292.29</v>
      </c>
      <c r="E19" s="70">
        <v>5869704.1</v>
      </c>
      <c r="F19" s="71">
        <v>917</v>
      </c>
      <c r="G19" s="70">
        <f>_xlfn.IFERROR((E19/F19/31)," ")</f>
        <v>206.48341717381362</v>
      </c>
      <c r="I19" s="70">
        <v>1995699.37</v>
      </c>
      <c r="J19" s="70">
        <v>586970.45</v>
      </c>
      <c r="K19" s="70">
        <v>3287034.3200000003</v>
      </c>
    </row>
    <row r="20" spans="1:11" ht="12.75">
      <c r="A20" s="72">
        <v>45170</v>
      </c>
      <c r="B20" s="70">
        <v>83482047.86000001</v>
      </c>
      <c r="C20" s="70">
        <v>925975.9600000001</v>
      </c>
      <c r="D20" s="70">
        <f t="shared" si="0"/>
        <v>76172374.71000002</v>
      </c>
      <c r="E20" s="70">
        <v>6383697.190000002</v>
      </c>
      <c r="F20" s="71">
        <v>917</v>
      </c>
      <c r="G20" s="70">
        <f t="shared" si="1"/>
        <v>232.05006143220655</v>
      </c>
      <c r="I20" s="70">
        <v>2170457.0500000003</v>
      </c>
      <c r="J20" s="70">
        <v>638369.73</v>
      </c>
      <c r="K20" s="70">
        <v>3574870.4100000006</v>
      </c>
    </row>
    <row r="21" spans="1:11" ht="12.75">
      <c r="A21" s="72">
        <v>45200</v>
      </c>
      <c r="B21" s="70">
        <v>81294120.02</v>
      </c>
      <c r="C21" s="70">
        <v>820133.92</v>
      </c>
      <c r="D21" s="70">
        <f t="shared" si="0"/>
        <v>74469005.46</v>
      </c>
      <c r="E21" s="70">
        <v>6004980.64</v>
      </c>
      <c r="F21" s="71">
        <v>917</v>
      </c>
      <c r="G21" s="70">
        <f>_xlfn.IFERROR((E21/F21/31)," ")</f>
        <v>211.2421514757097</v>
      </c>
      <c r="I21" s="70">
        <v>2041693.4100000004</v>
      </c>
      <c r="J21" s="70">
        <v>600498.0699999998</v>
      </c>
      <c r="K21" s="70">
        <v>3362789.159999999</v>
      </c>
    </row>
    <row r="22" spans="1:11" ht="12.75">
      <c r="A22" s="72">
        <v>45231</v>
      </c>
      <c r="B22" s="70">
        <v>81353908.29</v>
      </c>
      <c r="C22" s="70">
        <v>893447.9499999998</v>
      </c>
      <c r="D22" s="70">
        <f t="shared" si="0"/>
        <v>74600816.14</v>
      </c>
      <c r="E22" s="70">
        <v>5859644.199999999</v>
      </c>
      <c r="F22" s="71">
        <v>914</v>
      </c>
      <c r="G22" s="70">
        <f t="shared" si="1"/>
        <v>213.69964259664476</v>
      </c>
      <c r="I22" s="70">
        <v>1992279.0399999996</v>
      </c>
      <c r="J22" s="70">
        <v>585964.43</v>
      </c>
      <c r="K22" s="70">
        <v>3281400.7399999993</v>
      </c>
    </row>
    <row r="23" spans="1:11" ht="12.75">
      <c r="A23" s="72">
        <v>45261</v>
      </c>
      <c r="B23" s="70">
        <v>87177853.64</v>
      </c>
      <c r="C23" s="70">
        <v>839801.83</v>
      </c>
      <c r="D23" s="70">
        <f t="shared" si="0"/>
        <v>79791535.16</v>
      </c>
      <c r="E23" s="70">
        <v>6546516.649999999</v>
      </c>
      <c r="F23" s="71">
        <v>913</v>
      </c>
      <c r="G23" s="70">
        <f>_xlfn.IFERROR((E23/F23/31)," ")</f>
        <v>231.30115712115324</v>
      </c>
      <c r="I23" s="70">
        <v>2225815.6399999997</v>
      </c>
      <c r="J23" s="70">
        <v>654651.68</v>
      </c>
      <c r="K23" s="70">
        <v>3666049.3200000008</v>
      </c>
    </row>
    <row r="24" spans="1:11" ht="12.75">
      <c r="A24" s="72">
        <v>45292</v>
      </c>
      <c r="B24" s="70">
        <v>74139973.99</v>
      </c>
      <c r="C24" s="70">
        <v>1026289.73</v>
      </c>
      <c r="D24" s="70">
        <f t="shared" si="0"/>
        <v>67998366.36999999</v>
      </c>
      <c r="E24" s="70">
        <v>5115317.89</v>
      </c>
      <c r="F24" s="71">
        <v>913</v>
      </c>
      <c r="G24" s="70">
        <f>_xlfn.IFERROR((E24/F24/31)," ")</f>
        <v>180.7341232378193</v>
      </c>
      <c r="I24" s="70">
        <v>1739208.0999999999</v>
      </c>
      <c r="J24" s="70">
        <v>511531.7900000001</v>
      </c>
      <c r="K24" s="70">
        <v>2864577.9899999998</v>
      </c>
    </row>
    <row r="25" spans="1:11" ht="12.75">
      <c r="A25" s="72">
        <v>45323</v>
      </c>
      <c r="B25" s="70">
        <v>90073689.40999998</v>
      </c>
      <c r="C25" s="70">
        <v>1046286.5699999998</v>
      </c>
      <c r="D25" s="70">
        <f t="shared" si="0"/>
        <v>82372355.49999999</v>
      </c>
      <c r="E25" s="70">
        <v>6655047.34</v>
      </c>
      <c r="F25" s="71">
        <v>913</v>
      </c>
      <c r="G25" s="70">
        <f>_xlfn.IFERROR((E25/F25/29)," ")</f>
        <v>251.3520164671224</v>
      </c>
      <c r="I25" s="70">
        <v>2262716.11</v>
      </c>
      <c r="J25" s="70">
        <v>665504.73</v>
      </c>
      <c r="K25" s="70">
        <v>3726826.5100000002</v>
      </c>
    </row>
    <row r="26" spans="1:11" ht="12.75">
      <c r="A26" s="72">
        <v>45352</v>
      </c>
      <c r="B26" s="70">
        <v>98133438.49</v>
      </c>
      <c r="C26" s="70">
        <v>1162070.3199999998</v>
      </c>
      <c r="D26" s="70">
        <f t="shared" si="0"/>
        <v>89812397.89</v>
      </c>
      <c r="E26" s="70">
        <v>7158970.279999998</v>
      </c>
      <c r="F26" s="71">
        <v>913</v>
      </c>
      <c r="G26" s="70">
        <f>_xlfn.IFERROR((E26/F26/31)," ")</f>
        <v>252.9403342401865</v>
      </c>
      <c r="I26" s="70">
        <v>2434049.8800000004</v>
      </c>
      <c r="J26" s="70">
        <v>715897.0400000002</v>
      </c>
      <c r="K26" s="70">
        <v>4009023.37</v>
      </c>
    </row>
    <row r="27" spans="1:11" ht="13.5" thickBot="1">
      <c r="A27" s="112" t="s">
        <v>21</v>
      </c>
      <c r="B27" s="108">
        <f>SUM(B15:B26)</f>
        <v>1039585815.4599999</v>
      </c>
      <c r="C27" s="108">
        <f>SUM(C15:C26)</f>
        <v>11416446.020000001</v>
      </c>
      <c r="D27" s="111">
        <f>SUM(D15:D26)</f>
        <v>951810877.36</v>
      </c>
      <c r="E27" s="108">
        <f>SUM(E15:E26)</f>
        <v>76358492.08</v>
      </c>
      <c r="F27" s="68">
        <f>AVERAGE(F15:F26)</f>
        <v>916.6666666666666</v>
      </c>
      <c r="G27" s="66">
        <f>AVERAGE(G15:G26)</f>
        <v>227.74701569900415</v>
      </c>
      <c r="H27" s="109"/>
      <c r="I27" s="108">
        <f>SUM(I15:I26)</f>
        <v>25961887.31</v>
      </c>
      <c r="J27" s="108">
        <f>SUM(J15:J26)</f>
        <v>7635849.339999999</v>
      </c>
      <c r="K27" s="108">
        <f>SUM(K15:K26)</f>
        <v>42760755.529999994</v>
      </c>
    </row>
    <row r="28" spans="2:11" ht="10.5" customHeight="1" thickTop="1">
      <c r="B28" s="106"/>
      <c r="C28" s="106"/>
      <c r="D28" s="107"/>
      <c r="E28" s="106"/>
      <c r="I28" s="106"/>
      <c r="J28" s="106"/>
      <c r="K28" s="106"/>
    </row>
    <row r="29" spans="1:11" s="102" customFormat="1" ht="12.75">
      <c r="A29" s="105"/>
      <c r="B29" s="103"/>
      <c r="C29" s="104">
        <f>_xlfn.IFERROR(C27/B27,"")</f>
        <v>0.010981725462412556</v>
      </c>
      <c r="D29" s="104">
        <f>_xlfn.IFERROR(D27/B27,"")</f>
        <v>0.9155673954043314</v>
      </c>
      <c r="E29" s="103">
        <f>_xlfn.IFERROR(E27/B27,"")</f>
        <v>0.07345087913325617</v>
      </c>
      <c r="I29" s="103">
        <f>_xlfn.IFERROR(I27/$E$27,"")</f>
        <v>0.34000000003666914</v>
      </c>
      <c r="J29" s="103">
        <f>_xlfn.IFERROR(J27/$E$27,"")</f>
        <v>0.10000000172868787</v>
      </c>
      <c r="K29" s="103">
        <f>_xlfn.IFERROR(K27/$E$27,"")</f>
        <v>0.559999999544255</v>
      </c>
    </row>
    <row r="31" spans="1:11" s="75" customFormat="1" ht="12.75">
      <c r="A31" s="131" t="s">
        <v>22</v>
      </c>
      <c r="B31" s="132"/>
      <c r="C31" s="132"/>
      <c r="D31" s="132"/>
      <c r="E31" s="132"/>
      <c r="F31" s="132"/>
      <c r="G31" s="132"/>
      <c r="H31" s="132"/>
      <c r="I31" s="132"/>
      <c r="J31" s="132"/>
      <c r="K31" s="132"/>
    </row>
    <row r="32" ht="12.75">
      <c r="A32" s="74"/>
    </row>
    <row r="33" spans="1:11" s="64" customFormat="1" ht="12.75" customHeight="1">
      <c r="A33" s="60" t="s">
        <v>23</v>
      </c>
      <c r="B33" s="61"/>
      <c r="C33" s="62" t="s">
        <v>96</v>
      </c>
      <c r="D33" s="63"/>
      <c r="E33" s="63"/>
      <c r="F33" s="63"/>
      <c r="G33" s="63"/>
      <c r="H33" s="63"/>
      <c r="I33" s="63"/>
      <c r="J33" s="63"/>
      <c r="K33" s="63"/>
    </row>
    <row r="34" spans="1:11" s="64" customFormat="1" ht="12.75" customHeight="1">
      <c r="A34" s="60"/>
      <c r="B34" s="61"/>
      <c r="C34" s="62" t="s">
        <v>97</v>
      </c>
      <c r="D34" s="63"/>
      <c r="E34" s="63"/>
      <c r="F34" s="63"/>
      <c r="G34" s="63"/>
      <c r="H34" s="63"/>
      <c r="I34" s="63"/>
      <c r="J34" s="63"/>
      <c r="K34" s="63"/>
    </row>
    <row r="35" spans="1:11" s="95" customFormat="1" ht="6" customHeight="1">
      <c r="A35" s="98"/>
      <c r="B35" s="93"/>
      <c r="C35" s="78"/>
      <c r="E35" s="101"/>
      <c r="F35" s="101"/>
      <c r="G35" s="101"/>
      <c r="H35" s="101"/>
      <c r="I35" s="101"/>
      <c r="J35" s="101"/>
      <c r="K35" s="101"/>
    </row>
    <row r="36" spans="1:11" s="95" customFormat="1" ht="12.75">
      <c r="A36" s="98" t="s">
        <v>99</v>
      </c>
      <c r="B36" s="93"/>
      <c r="C36" s="78" t="s">
        <v>89</v>
      </c>
      <c r="D36" s="96"/>
      <c r="E36" s="96"/>
      <c r="F36" s="78"/>
      <c r="G36" s="78"/>
      <c r="H36" s="78"/>
      <c r="I36" s="78"/>
      <c r="J36" s="93"/>
      <c r="K36" s="93"/>
    </row>
    <row r="37" spans="1:11" s="95" customFormat="1" ht="6" customHeight="1">
      <c r="A37" s="98"/>
      <c r="B37" s="93"/>
      <c r="C37" s="78"/>
      <c r="E37" s="96"/>
      <c r="F37" s="78"/>
      <c r="G37" s="78"/>
      <c r="H37" s="78"/>
      <c r="I37" s="78"/>
      <c r="J37" s="93"/>
      <c r="K37" s="93"/>
    </row>
    <row r="38" spans="1:11" s="95" customFormat="1" ht="12.75">
      <c r="A38" s="98" t="s">
        <v>24</v>
      </c>
      <c r="B38" s="93"/>
      <c r="C38" s="62" t="s">
        <v>103</v>
      </c>
      <c r="E38" s="96"/>
      <c r="F38" s="78"/>
      <c r="G38" s="78"/>
      <c r="H38" s="78"/>
      <c r="I38" s="78"/>
      <c r="J38" s="93"/>
      <c r="K38" s="93"/>
    </row>
    <row r="39" spans="1:11" s="95" customFormat="1" ht="6" customHeight="1">
      <c r="A39" s="98"/>
      <c r="B39" s="93"/>
      <c r="C39" s="78"/>
      <c r="E39" s="96"/>
      <c r="F39" s="78"/>
      <c r="G39" s="78"/>
      <c r="H39" s="78"/>
      <c r="I39" s="78"/>
      <c r="J39" s="93"/>
      <c r="K39" s="93"/>
    </row>
    <row r="40" spans="1:11" s="95" customFormat="1" ht="12.75">
      <c r="A40" s="98" t="s">
        <v>26</v>
      </c>
      <c r="B40" s="93"/>
      <c r="C40" s="93" t="s">
        <v>65</v>
      </c>
      <c r="E40" s="96"/>
      <c r="F40" s="97"/>
      <c r="G40" s="93"/>
      <c r="H40" s="93"/>
      <c r="I40" s="93"/>
      <c r="J40" s="93"/>
      <c r="K40" s="93"/>
    </row>
    <row r="41" spans="1:11" s="95" customFormat="1" ht="12.75">
      <c r="A41" s="98"/>
      <c r="B41" s="93"/>
      <c r="C41" s="93" t="s">
        <v>66</v>
      </c>
      <c r="E41" s="96"/>
      <c r="F41" s="97"/>
      <c r="G41" s="93"/>
      <c r="H41" s="93"/>
      <c r="I41" s="93"/>
      <c r="J41" s="93"/>
      <c r="K41" s="93"/>
    </row>
    <row r="42" spans="1:11" s="95" customFormat="1" ht="6" customHeight="1">
      <c r="A42" s="98"/>
      <c r="B42" s="93"/>
      <c r="C42" s="93"/>
      <c r="E42" s="96"/>
      <c r="F42" s="97"/>
      <c r="G42" s="93"/>
      <c r="H42" s="93"/>
      <c r="I42" s="93"/>
      <c r="J42" s="93"/>
      <c r="K42" s="93"/>
    </row>
    <row r="43" spans="1:11" s="95" customFormat="1" ht="12.75">
      <c r="A43" s="98" t="s">
        <v>29</v>
      </c>
      <c r="B43" s="93"/>
      <c r="C43" s="93" t="s">
        <v>30</v>
      </c>
      <c r="E43" s="96"/>
      <c r="F43" s="97"/>
      <c r="G43" s="93"/>
      <c r="H43" s="93"/>
      <c r="I43" s="93"/>
      <c r="J43" s="93"/>
      <c r="K43" s="93"/>
    </row>
    <row r="44" spans="1:11" s="95" customFormat="1" ht="6" customHeight="1">
      <c r="A44" s="98"/>
      <c r="B44" s="93"/>
      <c r="C44" s="93"/>
      <c r="D44" s="93"/>
      <c r="E44" s="96"/>
      <c r="F44" s="97"/>
      <c r="G44" s="93"/>
      <c r="H44" s="93"/>
      <c r="I44" s="93"/>
      <c r="J44" s="93"/>
      <c r="K44" s="93"/>
    </row>
    <row r="45" spans="1:11" s="95" customFormat="1" ht="12.75">
      <c r="A45" s="98" t="s">
        <v>76</v>
      </c>
      <c r="B45" s="93"/>
      <c r="C45" s="93" t="s">
        <v>105</v>
      </c>
      <c r="D45" s="96"/>
      <c r="E45" s="97"/>
      <c r="F45" s="93"/>
      <c r="G45" s="93"/>
      <c r="H45" s="93"/>
      <c r="I45" s="93"/>
      <c r="J45" s="93"/>
      <c r="K45" s="93"/>
    </row>
    <row r="46" spans="1:11" s="95" customFormat="1" ht="12.75">
      <c r="A46" s="98"/>
      <c r="B46" s="93"/>
      <c r="C46" s="93" t="s">
        <v>85</v>
      </c>
      <c r="D46" s="96"/>
      <c r="E46" s="97"/>
      <c r="F46" s="93"/>
      <c r="G46" s="93"/>
      <c r="H46" s="93"/>
      <c r="I46" s="93"/>
      <c r="J46" s="93"/>
      <c r="K46" s="93"/>
    </row>
    <row r="47" spans="1:11" s="95" customFormat="1" ht="12.75">
      <c r="A47" s="98"/>
      <c r="B47" s="93"/>
      <c r="C47" s="93" t="s">
        <v>86</v>
      </c>
      <c r="D47" s="96"/>
      <c r="E47" s="97"/>
      <c r="F47" s="93"/>
      <c r="G47" s="93"/>
      <c r="H47" s="93"/>
      <c r="I47" s="93"/>
      <c r="J47" s="93"/>
      <c r="K47" s="93"/>
    </row>
    <row r="48" spans="1:11" s="64" customFormat="1" ht="3" customHeight="1">
      <c r="A48" s="60"/>
      <c r="B48" s="61"/>
      <c r="C48" s="61"/>
      <c r="D48" s="127"/>
      <c r="E48" s="128"/>
      <c r="F48" s="61"/>
      <c r="G48" s="61"/>
      <c r="H48" s="61"/>
      <c r="I48" s="61"/>
      <c r="J48" s="61"/>
      <c r="K48" s="61"/>
    </row>
    <row r="49" spans="1:11" s="64" customFormat="1" ht="12.75" customHeight="1">
      <c r="A49" s="60"/>
      <c r="B49" s="61"/>
      <c r="C49" s="62" t="s">
        <v>121</v>
      </c>
      <c r="D49" s="62"/>
      <c r="E49" s="62"/>
      <c r="F49" s="62"/>
      <c r="G49" s="62"/>
      <c r="H49" s="62"/>
      <c r="I49" s="62"/>
      <c r="J49" s="62"/>
      <c r="K49" s="62"/>
    </row>
    <row r="50" spans="1:11" s="64" customFormat="1" ht="12.75">
      <c r="A50" s="60"/>
      <c r="B50" s="61"/>
      <c r="C50" s="62" t="s">
        <v>122</v>
      </c>
      <c r="D50" s="62"/>
      <c r="E50" s="62"/>
      <c r="F50" s="62"/>
      <c r="G50" s="62"/>
      <c r="H50" s="62"/>
      <c r="I50" s="62"/>
      <c r="J50" s="62"/>
      <c r="K50" s="62"/>
    </row>
    <row r="51" spans="1:11" s="64" customFormat="1" ht="12.75">
      <c r="A51" s="60"/>
      <c r="B51" s="61"/>
      <c r="C51" s="62" t="s">
        <v>123</v>
      </c>
      <c r="D51" s="62"/>
      <c r="E51" s="62"/>
      <c r="F51" s="62"/>
      <c r="G51" s="62"/>
      <c r="H51" s="62"/>
      <c r="I51" s="62"/>
      <c r="J51" s="62"/>
      <c r="K51" s="62"/>
    </row>
    <row r="52" spans="1:11" s="95" customFormat="1" ht="6" customHeight="1">
      <c r="A52" s="98"/>
      <c r="B52" s="93"/>
      <c r="C52" s="93"/>
      <c r="D52" s="93"/>
      <c r="E52" s="96"/>
      <c r="F52" s="97"/>
      <c r="G52" s="93"/>
      <c r="H52" s="93"/>
      <c r="I52" s="93"/>
      <c r="J52" s="93"/>
      <c r="K52" s="93"/>
    </row>
    <row r="53" spans="1:11" s="95" customFormat="1" ht="12.75">
      <c r="A53" s="98" t="s">
        <v>88</v>
      </c>
      <c r="B53" s="93"/>
      <c r="C53" s="93" t="s">
        <v>80</v>
      </c>
      <c r="D53" s="96"/>
      <c r="E53" s="97"/>
      <c r="F53" s="93"/>
      <c r="G53" s="93"/>
      <c r="H53" s="93"/>
      <c r="I53" s="93"/>
      <c r="J53" s="93"/>
      <c r="K53" s="93"/>
    </row>
    <row r="54" spans="1:11" s="95" customFormat="1" ht="12.75">
      <c r="A54" s="73"/>
      <c r="B54" s="93"/>
      <c r="C54" s="93" t="s">
        <v>81</v>
      </c>
      <c r="D54" s="96"/>
      <c r="E54" s="97"/>
      <c r="F54" s="93"/>
      <c r="G54" s="93"/>
      <c r="H54" s="93"/>
      <c r="I54" s="93"/>
      <c r="J54" s="93"/>
      <c r="K54" s="93"/>
    </row>
    <row r="55" spans="1:11" ht="12.75">
      <c r="A55" s="94"/>
      <c r="B55" s="91"/>
      <c r="C55" s="91"/>
      <c r="D55" s="93"/>
      <c r="E55" s="91"/>
      <c r="F55" s="92"/>
      <c r="G55" s="91"/>
      <c r="H55" s="91"/>
      <c r="I55" s="91"/>
      <c r="J55" s="91"/>
      <c r="K55" s="91"/>
    </row>
    <row r="56" spans="1:11" s="75" customFormat="1" ht="12.75">
      <c r="A56" s="131" t="s">
        <v>32</v>
      </c>
      <c r="B56" s="132"/>
      <c r="C56" s="132"/>
      <c r="D56" s="132"/>
      <c r="E56" s="132"/>
      <c r="F56" s="132"/>
      <c r="G56" s="132"/>
      <c r="H56" s="132"/>
      <c r="I56" s="132"/>
      <c r="J56" s="132"/>
      <c r="K56" s="132"/>
    </row>
    <row r="57" ht="12.75">
      <c r="A57" s="74"/>
    </row>
    <row r="58" spans="1:11" ht="13.5">
      <c r="A58" s="90"/>
      <c r="D58" s="89" t="s">
        <v>10</v>
      </c>
      <c r="E58" s="89" t="s">
        <v>83</v>
      </c>
      <c r="F58" s="130" t="s">
        <v>90</v>
      </c>
      <c r="G58" s="130"/>
      <c r="H58" s="130"/>
      <c r="I58" s="130"/>
      <c r="J58" s="114"/>
      <c r="K58" s="69"/>
    </row>
    <row r="59" spans="1:11" ht="12.75">
      <c r="A59" s="88"/>
      <c r="D59" s="85" t="s">
        <v>18</v>
      </c>
      <c r="E59" s="85" t="s">
        <v>84</v>
      </c>
      <c r="F59" s="85" t="s">
        <v>91</v>
      </c>
      <c r="G59" s="87" t="s">
        <v>92</v>
      </c>
      <c r="H59" s="86"/>
      <c r="I59" s="85" t="s">
        <v>93</v>
      </c>
      <c r="J59" s="114"/>
      <c r="K59" s="69"/>
    </row>
    <row r="60" spans="2:11" ht="12.75">
      <c r="B60" s="80"/>
      <c r="C60" s="80"/>
      <c r="D60" s="81">
        <v>0.34</v>
      </c>
      <c r="E60" s="81">
        <v>0.1</v>
      </c>
      <c r="F60" s="81">
        <v>0.46</v>
      </c>
      <c r="G60" s="83">
        <v>0.0875</v>
      </c>
      <c r="H60" s="82"/>
      <c r="I60" s="81">
        <v>0.0125</v>
      </c>
      <c r="J60" s="126"/>
      <c r="K60" s="69"/>
    </row>
    <row r="61" spans="2:11" ht="12.75">
      <c r="B61" s="80"/>
      <c r="C61" s="80"/>
      <c r="D61" s="80"/>
      <c r="E61" s="78"/>
      <c r="F61" s="79"/>
      <c r="G61" s="77"/>
      <c r="H61" s="78"/>
      <c r="I61" s="77"/>
      <c r="J61" s="77"/>
      <c r="K61" s="77"/>
    </row>
    <row r="62" spans="1:11" s="75" customFormat="1" ht="12.75">
      <c r="A62" s="133" t="s">
        <v>46</v>
      </c>
      <c r="B62" s="134"/>
      <c r="C62" s="134"/>
      <c r="D62" s="134"/>
      <c r="E62" s="134"/>
      <c r="F62" s="134"/>
      <c r="G62" s="134"/>
      <c r="H62" s="134"/>
      <c r="I62" s="134"/>
      <c r="J62" s="134"/>
      <c r="K62" s="134"/>
    </row>
    <row r="63" spans="1:6" ht="10.5" customHeight="1">
      <c r="A63" s="74"/>
      <c r="E63" s="69"/>
      <c r="F63" s="70"/>
    </row>
    <row r="64" spans="1:11" ht="51.75" customHeight="1">
      <c r="A64" s="135" t="s">
        <v>131</v>
      </c>
      <c r="B64" s="135"/>
      <c r="C64" s="135"/>
      <c r="D64" s="135"/>
      <c r="E64" s="135"/>
      <c r="F64" s="135"/>
      <c r="G64" s="135"/>
      <c r="H64" s="135"/>
      <c r="I64" s="135"/>
      <c r="J64" s="135"/>
      <c r="K64" s="135"/>
    </row>
    <row r="65" spans="1:6" ht="12.75">
      <c r="A65" s="70"/>
      <c r="E65" s="69"/>
      <c r="F65" s="70"/>
    </row>
    <row r="66" spans="2:5" ht="12.75">
      <c r="B66" s="74" t="s">
        <v>47</v>
      </c>
      <c r="C66" s="74"/>
      <c r="D66" s="74"/>
      <c r="E66" s="70">
        <v>865679</v>
      </c>
    </row>
    <row r="67" spans="2:5" ht="12.75">
      <c r="B67" s="74" t="s">
        <v>48</v>
      </c>
      <c r="C67" s="74"/>
      <c r="D67" s="74"/>
      <c r="E67" s="70">
        <v>288560</v>
      </c>
    </row>
    <row r="68" spans="2:5" ht="7.5" customHeight="1">
      <c r="B68" s="70" t="s">
        <v>33</v>
      </c>
      <c r="E68" s="70" t="s">
        <v>33</v>
      </c>
    </row>
    <row r="69" ht="12.75">
      <c r="E69" s="70" t="s">
        <v>33</v>
      </c>
    </row>
    <row r="70" ht="15" customHeight="1">
      <c r="A70" s="129" t="s">
        <v>100</v>
      </c>
    </row>
  </sheetData>
  <sheetProtection/>
  <mergeCells count="12">
    <mergeCell ref="A1:K1"/>
    <mergeCell ref="A2:K2"/>
    <mergeCell ref="A3:K3"/>
    <mergeCell ref="A4:K4"/>
    <mergeCell ref="A5:K5"/>
    <mergeCell ref="A8:K8"/>
    <mergeCell ref="I10:K10"/>
    <mergeCell ref="A31:K31"/>
    <mergeCell ref="A56:K56"/>
    <mergeCell ref="F58:I58"/>
    <mergeCell ref="A62:K62"/>
    <mergeCell ref="A64:K64"/>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81" r:id="rId3"/>
  <ignoredErrors>
    <ignoredError sqref="G16:G17 G20:G21 G22" formula="1"/>
  </ignoredErrors>
  <drawing r:id="rId2"/>
</worksheet>
</file>

<file path=xl/worksheets/sheet10.xml><?xml version="1.0" encoding="utf-8"?>
<worksheet xmlns="http://schemas.openxmlformats.org/spreadsheetml/2006/main" xmlns:r="http://schemas.openxmlformats.org/officeDocument/2006/relationships">
  <sheetPr>
    <pageSetUpPr fitToPage="1"/>
  </sheetPr>
  <dimension ref="A1:M74"/>
  <sheetViews>
    <sheetView zoomScalePageLayoutView="0" workbookViewId="0" topLeftCell="A1">
      <selection activeCell="A1" sqref="A1:M1"/>
    </sheetView>
  </sheetViews>
  <sheetFormatPr defaultColWidth="9.140625" defaultRowHeight="12.75"/>
  <cols>
    <col min="1" max="1" width="9.28125" style="3" customWidth="1"/>
    <col min="2" max="2" width="14.140625" style="16" customWidth="1"/>
    <col min="3" max="3" width="13.42187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3" width="13.00390625" style="16" customWidth="1"/>
    <col min="14" max="14" width="12.7109375" style="0" customWidth="1"/>
  </cols>
  <sheetData>
    <row r="1" spans="1:13" ht="18">
      <c r="A1" s="152" t="s">
        <v>102</v>
      </c>
      <c r="B1" s="152"/>
      <c r="C1" s="152"/>
      <c r="D1" s="152"/>
      <c r="E1" s="152"/>
      <c r="F1" s="152"/>
      <c r="G1" s="152"/>
      <c r="H1" s="152"/>
      <c r="I1" s="152"/>
      <c r="J1" s="152"/>
      <c r="K1" s="152"/>
      <c r="L1" s="152"/>
      <c r="M1" s="152"/>
    </row>
    <row r="2" spans="1:13" ht="15">
      <c r="A2" s="153" t="s">
        <v>1</v>
      </c>
      <c r="B2" s="153"/>
      <c r="C2" s="153"/>
      <c r="D2" s="153"/>
      <c r="E2" s="153"/>
      <c r="F2" s="153"/>
      <c r="G2" s="153"/>
      <c r="H2" s="153"/>
      <c r="I2" s="153"/>
      <c r="J2" s="153"/>
      <c r="K2" s="153"/>
      <c r="L2" s="153"/>
      <c r="M2" s="153"/>
    </row>
    <row r="3" spans="1:13" s="1" customFormat="1" ht="15">
      <c r="A3" s="153" t="s">
        <v>2</v>
      </c>
      <c r="B3" s="153"/>
      <c r="C3" s="153"/>
      <c r="D3" s="153"/>
      <c r="E3" s="153"/>
      <c r="F3" s="153"/>
      <c r="G3" s="153"/>
      <c r="H3" s="153"/>
      <c r="I3" s="153"/>
      <c r="J3" s="153"/>
      <c r="K3" s="153"/>
      <c r="L3" s="153"/>
      <c r="M3" s="153"/>
    </row>
    <row r="4" spans="1:13" s="1" customFormat="1" ht="12.75">
      <c r="A4" s="138" t="s">
        <v>3</v>
      </c>
      <c r="B4" s="139"/>
      <c r="C4" s="139"/>
      <c r="D4" s="139"/>
      <c r="E4" s="139"/>
      <c r="F4" s="139"/>
      <c r="G4" s="139"/>
      <c r="H4" s="139"/>
      <c r="I4" s="139"/>
      <c r="J4" s="139"/>
      <c r="K4" s="139"/>
      <c r="L4" s="139"/>
      <c r="M4" s="139"/>
    </row>
    <row r="5" spans="1:13" s="1" customFormat="1" ht="14.25">
      <c r="A5" s="154" t="s">
        <v>4</v>
      </c>
      <c r="B5" s="154"/>
      <c r="C5" s="154"/>
      <c r="D5" s="154"/>
      <c r="E5" s="154"/>
      <c r="F5" s="154"/>
      <c r="G5" s="154"/>
      <c r="H5" s="154"/>
      <c r="I5" s="154"/>
      <c r="J5" s="154"/>
      <c r="K5" s="154"/>
      <c r="L5" s="154"/>
      <c r="M5" s="154"/>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44" t="s">
        <v>104</v>
      </c>
      <c r="B8" s="145"/>
      <c r="C8" s="145"/>
      <c r="D8" s="145"/>
      <c r="E8" s="145"/>
      <c r="F8" s="145"/>
      <c r="G8" s="145"/>
      <c r="H8" s="145"/>
      <c r="I8" s="145"/>
      <c r="J8" s="145"/>
      <c r="K8" s="145"/>
      <c r="L8" s="145"/>
      <c r="M8" s="14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43" t="s">
        <v>6</v>
      </c>
      <c r="J10" s="143"/>
      <c r="K10" s="143"/>
      <c r="L10" s="143"/>
      <c r="M10" s="143"/>
    </row>
    <row r="11" spans="1:13" s="1" customFormat="1" ht="12.75">
      <c r="A11" s="3"/>
      <c r="B11" s="5"/>
      <c r="C11" s="5"/>
      <c r="D11" s="48"/>
      <c r="E11" s="5"/>
      <c r="F11" s="6"/>
      <c r="G11" s="5"/>
      <c r="H11" s="5"/>
      <c r="I11" s="5"/>
      <c r="J11" s="5"/>
      <c r="K11" s="5"/>
      <c r="L11" s="5"/>
      <c r="M11" s="5"/>
    </row>
    <row r="12" spans="1:13" s="12" customFormat="1" ht="12">
      <c r="A12" s="9"/>
      <c r="B12" s="10" t="s">
        <v>7</v>
      </c>
      <c r="C12" s="10" t="s">
        <v>75</v>
      </c>
      <c r="D12" s="10" t="s">
        <v>7</v>
      </c>
      <c r="E12" s="10"/>
      <c r="F12" s="11" t="s">
        <v>8</v>
      </c>
      <c r="G12" s="10" t="s">
        <v>9</v>
      </c>
      <c r="H12" s="10"/>
      <c r="I12" s="10" t="s">
        <v>10</v>
      </c>
      <c r="J12" s="10" t="s">
        <v>82</v>
      </c>
      <c r="K12" s="10" t="s">
        <v>11</v>
      </c>
      <c r="L12" s="10" t="s">
        <v>83</v>
      </c>
      <c r="M12" s="10" t="s">
        <v>51</v>
      </c>
    </row>
    <row r="13" spans="1:13" s="12" customFormat="1" ht="12">
      <c r="A13" s="13" t="s">
        <v>12</v>
      </c>
      <c r="B13" s="8" t="s">
        <v>13</v>
      </c>
      <c r="C13" s="8" t="s">
        <v>20</v>
      </c>
      <c r="D13" s="8" t="s">
        <v>14</v>
      </c>
      <c r="E13" s="8" t="s">
        <v>15</v>
      </c>
      <c r="F13" s="14" t="s">
        <v>16</v>
      </c>
      <c r="G13" s="8" t="s">
        <v>17</v>
      </c>
      <c r="H13" s="15"/>
      <c r="I13" s="8" t="s">
        <v>18</v>
      </c>
      <c r="J13" s="8" t="s">
        <v>19</v>
      </c>
      <c r="K13" s="8" t="s">
        <v>20</v>
      </c>
      <c r="L13" s="8" t="s">
        <v>84</v>
      </c>
      <c r="M13" s="8" t="s">
        <v>52</v>
      </c>
    </row>
    <row r="14" ht="12.75">
      <c r="D14" s="45"/>
    </row>
    <row r="15" spans="1:13" ht="12.75">
      <c r="A15" s="3">
        <v>41730</v>
      </c>
      <c r="B15" s="16">
        <v>72258658.59</v>
      </c>
      <c r="C15" s="16">
        <v>447327.85</v>
      </c>
      <c r="D15" s="45">
        <f aca="true" t="shared" si="0" ref="D15:D26">+B15-C15-E15</f>
        <v>65821138.54000001</v>
      </c>
      <c r="E15" s="16">
        <v>5990192.2</v>
      </c>
      <c r="F15" s="17">
        <v>940</v>
      </c>
      <c r="G15" s="16">
        <f>E15/F15/30</f>
        <v>212.41816312056739</v>
      </c>
      <c r="I15" s="16">
        <v>2096567.25</v>
      </c>
      <c r="J15" s="16">
        <v>2455978.8</v>
      </c>
      <c r="K15" s="16">
        <v>599019.23</v>
      </c>
      <c r="L15" s="16">
        <v>599019.23</v>
      </c>
      <c r="M15" s="16">
        <v>239607.72</v>
      </c>
    </row>
    <row r="16" spans="1:13" ht="12.75">
      <c r="A16" s="3">
        <v>41760</v>
      </c>
      <c r="B16" s="16">
        <v>75284111.02</v>
      </c>
      <c r="C16" s="16">
        <f>569850.93-47941.73</f>
        <v>521909.20000000007</v>
      </c>
      <c r="D16" s="45">
        <f t="shared" si="0"/>
        <v>68657347.02</v>
      </c>
      <c r="E16" s="16">
        <v>6104854.8</v>
      </c>
      <c r="F16" s="17">
        <v>940</v>
      </c>
      <c r="G16" s="16">
        <f>E16/F16/31</f>
        <v>209.5008510638298</v>
      </c>
      <c r="I16" s="16">
        <v>2136699.18</v>
      </c>
      <c r="J16" s="16">
        <v>2502990.48</v>
      </c>
      <c r="K16" s="16">
        <v>610485.48</v>
      </c>
      <c r="L16" s="16">
        <v>610485.48</v>
      </c>
      <c r="M16" s="16">
        <v>244194.2</v>
      </c>
    </row>
    <row r="17" spans="1:13" ht="12.75">
      <c r="A17" s="3">
        <v>41791</v>
      </c>
      <c r="B17" s="16">
        <v>68188680.03</v>
      </c>
      <c r="C17" s="16">
        <f>512149.07-37295.2</f>
        <v>474853.87</v>
      </c>
      <c r="D17" s="45">
        <f t="shared" si="0"/>
        <v>62233429.839999996</v>
      </c>
      <c r="E17" s="16">
        <v>5480396.32</v>
      </c>
      <c r="F17" s="17">
        <v>940</v>
      </c>
      <c r="G17" s="16">
        <f>E17/F17/30</f>
        <v>194.34029503546103</v>
      </c>
      <c r="I17" s="16">
        <v>1918138.71</v>
      </c>
      <c r="J17" s="16">
        <v>2246962.5</v>
      </c>
      <c r="K17" s="16">
        <v>548039.64</v>
      </c>
      <c r="L17" s="16">
        <v>548039.64</v>
      </c>
      <c r="M17" s="16">
        <v>219215.84</v>
      </c>
    </row>
    <row r="18" spans="1:13" ht="12.75">
      <c r="A18" s="3">
        <v>41821</v>
      </c>
      <c r="B18" s="16">
        <v>74302999.14</v>
      </c>
      <c r="C18" s="16">
        <f>576904.95-44200.13</f>
        <v>532704.82</v>
      </c>
      <c r="D18" s="45">
        <f t="shared" si="0"/>
        <v>68020337.16000001</v>
      </c>
      <c r="E18" s="16">
        <v>5749957.16</v>
      </c>
      <c r="F18" s="17">
        <v>940</v>
      </c>
      <c r="G18" s="16">
        <f>E18/F18/31</f>
        <v>197.32179684282775</v>
      </c>
      <c r="I18" s="16">
        <v>2012485.01</v>
      </c>
      <c r="J18" s="16">
        <v>2357482.42</v>
      </c>
      <c r="K18" s="16">
        <v>574995.72</v>
      </c>
      <c r="L18" s="16">
        <v>574995.72</v>
      </c>
      <c r="M18" s="16">
        <v>229998.3</v>
      </c>
    </row>
    <row r="19" spans="1:13" ht="12.75">
      <c r="A19" s="3">
        <v>41852</v>
      </c>
      <c r="B19" s="16">
        <v>64035908.88</v>
      </c>
      <c r="C19" s="16">
        <f>531192.11-26745.26</f>
        <v>504446.85</v>
      </c>
      <c r="D19" s="45">
        <f t="shared" si="0"/>
        <v>58456484.03</v>
      </c>
      <c r="E19" s="16">
        <v>5074978</v>
      </c>
      <c r="F19" s="17">
        <v>940</v>
      </c>
      <c r="G19" s="16">
        <f>E19/F19/31</f>
        <v>174.15847632120796</v>
      </c>
      <c r="I19" s="16">
        <v>1776242.29</v>
      </c>
      <c r="J19" s="16">
        <v>2080741.04</v>
      </c>
      <c r="K19" s="16">
        <v>507497.8</v>
      </c>
      <c r="L19" s="16">
        <v>507497.8</v>
      </c>
      <c r="M19" s="16">
        <v>202999.13</v>
      </c>
    </row>
    <row r="20" spans="1:13" ht="12.75">
      <c r="A20" s="3">
        <v>41883</v>
      </c>
      <c r="B20" s="16">
        <v>62993676.7</v>
      </c>
      <c r="C20" s="16">
        <v>434077.56</v>
      </c>
      <c r="D20" s="45">
        <f t="shared" si="0"/>
        <v>57557240.15</v>
      </c>
      <c r="E20" s="16">
        <v>5002358.99</v>
      </c>
      <c r="F20" s="17">
        <v>940</v>
      </c>
      <c r="G20" s="16">
        <f>E20/F20/30</f>
        <v>177.38861666666668</v>
      </c>
      <c r="I20" s="16">
        <v>1750825.66</v>
      </c>
      <c r="J20" s="16">
        <v>2050967.18</v>
      </c>
      <c r="K20" s="16">
        <v>500235.92</v>
      </c>
      <c r="L20" s="16">
        <v>500235.92</v>
      </c>
      <c r="M20" s="16">
        <v>200094.4</v>
      </c>
    </row>
    <row r="21" spans="1:13" ht="12.75">
      <c r="A21" s="3">
        <v>41913</v>
      </c>
      <c r="B21" s="16">
        <v>64356004.35</v>
      </c>
      <c r="C21" s="16">
        <f>476353.78-13170</f>
        <v>463183.78</v>
      </c>
      <c r="D21" s="45">
        <f t="shared" si="0"/>
        <v>58719465.2</v>
      </c>
      <c r="E21" s="16">
        <v>5173355.37</v>
      </c>
      <c r="F21" s="17">
        <v>940</v>
      </c>
      <c r="G21" s="16">
        <f>E21/F21/31</f>
        <v>177.5345013726836</v>
      </c>
      <c r="I21" s="16">
        <v>1810674.36</v>
      </c>
      <c r="J21" s="16">
        <v>2121075.68</v>
      </c>
      <c r="K21" s="16">
        <v>517335.55</v>
      </c>
      <c r="L21" s="16">
        <v>517335.55</v>
      </c>
      <c r="M21" s="16">
        <v>206934.21</v>
      </c>
    </row>
    <row r="22" spans="1:13" ht="12.75">
      <c r="A22" s="3">
        <v>41944</v>
      </c>
      <c r="B22" s="16">
        <v>49996421.17</v>
      </c>
      <c r="C22" s="16">
        <f>401023.38-14305</f>
        <v>386718.38</v>
      </c>
      <c r="D22" s="45">
        <f t="shared" si="0"/>
        <v>45719437.36</v>
      </c>
      <c r="E22" s="16">
        <v>3890265.43</v>
      </c>
      <c r="F22" s="17">
        <v>940</v>
      </c>
      <c r="G22" s="16">
        <f>E22/F22/30</f>
        <v>137.95267482269503</v>
      </c>
      <c r="I22" s="16">
        <v>1361592.91</v>
      </c>
      <c r="J22" s="16">
        <v>1595008.82</v>
      </c>
      <c r="K22" s="16">
        <v>389026.54</v>
      </c>
      <c r="L22" s="16">
        <v>389026.54</v>
      </c>
      <c r="M22" s="16">
        <v>155610.63</v>
      </c>
    </row>
    <row r="23" spans="1:13" ht="12.75">
      <c r="A23" s="3">
        <v>41974</v>
      </c>
      <c r="B23" s="16">
        <v>65740674.86</v>
      </c>
      <c r="C23" s="16">
        <f>606987.82-14592</f>
        <v>592395.82</v>
      </c>
      <c r="D23" s="45">
        <f t="shared" si="0"/>
        <v>60105263.71</v>
      </c>
      <c r="E23" s="16">
        <v>5043015.33</v>
      </c>
      <c r="F23" s="17">
        <v>940</v>
      </c>
      <c r="G23" s="16">
        <f>E23/F23/31</f>
        <v>173.06161050102952</v>
      </c>
      <c r="I23" s="16">
        <v>1765055.38</v>
      </c>
      <c r="J23" s="16">
        <v>2067636.29</v>
      </c>
      <c r="K23" s="16">
        <v>504301.55</v>
      </c>
      <c r="L23" s="16">
        <v>504301.55</v>
      </c>
      <c r="M23" s="16">
        <v>201720.61</v>
      </c>
    </row>
    <row r="24" spans="1:13" ht="12.75">
      <c r="A24" s="3">
        <v>42005</v>
      </c>
      <c r="B24" s="16">
        <v>60820726.9</v>
      </c>
      <c r="C24" s="16">
        <f>450167.62-7683.6</f>
        <v>442484.02</v>
      </c>
      <c r="D24" s="45">
        <f t="shared" si="0"/>
        <v>55522045.12</v>
      </c>
      <c r="E24" s="16">
        <v>4856197.76</v>
      </c>
      <c r="F24" s="17">
        <v>940</v>
      </c>
      <c r="G24" s="16">
        <f>E24/F24/31</f>
        <v>166.65057515442692</v>
      </c>
      <c r="I24" s="16">
        <v>1699669.23</v>
      </c>
      <c r="J24" s="16">
        <v>1991041.09</v>
      </c>
      <c r="K24" s="16">
        <v>485619.8</v>
      </c>
      <c r="L24" s="16">
        <v>485619.8</v>
      </c>
      <c r="M24" s="16">
        <v>194247.9</v>
      </c>
    </row>
    <row r="25" spans="1:13" ht="12.75">
      <c r="A25" s="3">
        <v>42036</v>
      </c>
      <c r="B25" s="16">
        <v>56093675.79</v>
      </c>
      <c r="C25" s="16">
        <f>433373.31-136280.85</f>
        <v>297092.45999999996</v>
      </c>
      <c r="D25" s="45">
        <f t="shared" si="0"/>
        <v>51123200.26</v>
      </c>
      <c r="E25" s="16">
        <v>4673383.07</v>
      </c>
      <c r="F25" s="17">
        <v>940</v>
      </c>
      <c r="G25" s="16">
        <f>E25/F25/28</f>
        <v>177.56014703647415</v>
      </c>
      <c r="I25" s="16">
        <v>1635684.11</v>
      </c>
      <c r="J25" s="16">
        <v>1916087.06</v>
      </c>
      <c r="K25" s="16">
        <v>467338.33</v>
      </c>
      <c r="L25" s="16">
        <v>467338.33</v>
      </c>
      <c r="M25" s="16">
        <v>186935.34</v>
      </c>
    </row>
    <row r="26" spans="1:13" ht="12.75">
      <c r="A26" s="3">
        <v>42064</v>
      </c>
      <c r="B26" s="16">
        <v>76288117.01</v>
      </c>
      <c r="C26" s="16">
        <f>601081.6-60694.76</f>
        <v>540386.84</v>
      </c>
      <c r="D26" s="45">
        <f t="shared" si="0"/>
        <v>69573526.81</v>
      </c>
      <c r="E26" s="16">
        <v>6174203.36</v>
      </c>
      <c r="F26" s="17">
        <v>940</v>
      </c>
      <c r="G26" s="16">
        <f>E26/F26/31</f>
        <v>211.88069183253262</v>
      </c>
      <c r="I26" s="16">
        <v>2189497.57</v>
      </c>
      <c r="J26" s="16">
        <v>2531423.38</v>
      </c>
      <c r="K26" s="16">
        <v>617420.37</v>
      </c>
      <c r="L26" s="16">
        <v>617420.37</v>
      </c>
      <c r="M26" s="16">
        <v>218441.72</v>
      </c>
    </row>
    <row r="27" spans="1:13" ht="13.5" thickBot="1">
      <c r="A27" s="3" t="s">
        <v>21</v>
      </c>
      <c r="B27" s="19">
        <f>SUM(B15:B26)</f>
        <v>790359654.4399999</v>
      </c>
      <c r="C27" s="19">
        <f>SUM(C15:C26)</f>
        <v>5637581.45</v>
      </c>
      <c r="D27" s="49">
        <f>SUM(D15:D26)</f>
        <v>721508915.2</v>
      </c>
      <c r="E27" s="19">
        <f>SUM(E15:E26)</f>
        <v>63213157.78999999</v>
      </c>
      <c r="I27" s="19">
        <f>SUM(I15:I26)</f>
        <v>22153131.66</v>
      </c>
      <c r="J27" s="19">
        <f>SUM(J15:J26)</f>
        <v>25917394.739999995</v>
      </c>
      <c r="K27" s="19">
        <f>SUM(K15:K26)</f>
        <v>6321315.93</v>
      </c>
      <c r="L27" s="19">
        <f>SUM(L15:L26)</f>
        <v>6321315.93</v>
      </c>
      <c r="M27" s="19">
        <f>SUM(M15:M26)</f>
        <v>2499999.9999999995</v>
      </c>
    </row>
    <row r="28" spans="2:13" ht="10.5" customHeight="1" thickTop="1">
      <c r="B28" s="20"/>
      <c r="C28" s="20"/>
      <c r="D28" s="18"/>
      <c r="E28" s="20"/>
      <c r="I28" s="20"/>
      <c r="J28" s="20"/>
      <c r="K28" s="20"/>
      <c r="L28" s="20"/>
      <c r="M28" s="20"/>
    </row>
    <row r="29" spans="1:13" s="23" customFormat="1" ht="12.75">
      <c r="A29" s="21"/>
      <c r="B29" s="22"/>
      <c r="C29" s="50">
        <f>C27/B27</f>
        <v>0.007132931720805565</v>
      </c>
      <c r="D29" s="50">
        <f>D27/B27</f>
        <v>0.9128868245573805</v>
      </c>
      <c r="E29" s="22">
        <f>E27/B27</f>
        <v>0.07998024372181413</v>
      </c>
      <c r="I29" s="22">
        <f>I27/$E$27</f>
        <v>0.3504512736667067</v>
      </c>
      <c r="J29" s="22">
        <f>J27/$E$27</f>
        <v>0.4100000007292785</v>
      </c>
      <c r="K29" s="22">
        <f>K27/$E$27</f>
        <v>0.1000000023887432</v>
      </c>
      <c r="L29" s="22">
        <f>L27/$E$27</f>
        <v>0.1000000023887432</v>
      </c>
      <c r="M29" s="22">
        <f>M27/$E$27</f>
        <v>0.03954872826168933</v>
      </c>
    </row>
    <row r="31" spans="1:13" s="24" customFormat="1" ht="12.75">
      <c r="A31" s="144" t="s">
        <v>22</v>
      </c>
      <c r="B31" s="145"/>
      <c r="C31" s="145"/>
      <c r="D31" s="145"/>
      <c r="E31" s="145"/>
      <c r="F31" s="145"/>
      <c r="G31" s="145"/>
      <c r="H31" s="145"/>
      <c r="I31" s="145"/>
      <c r="J31" s="145"/>
      <c r="K31" s="145"/>
      <c r="L31" s="145"/>
      <c r="M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3" s="47" customFormat="1" ht="6" customHeight="1">
      <c r="A35" s="26"/>
      <c r="B35" s="44"/>
      <c r="C35" s="27"/>
      <c r="E35" s="51"/>
      <c r="F35" s="51"/>
      <c r="G35" s="51"/>
      <c r="H35" s="51"/>
      <c r="I35" s="51"/>
      <c r="J35" s="51"/>
      <c r="K35" s="51"/>
      <c r="L35" s="51"/>
      <c r="M35" s="51"/>
    </row>
    <row r="36" spans="1:13" s="47" customFormat="1" ht="12.75">
      <c r="A36" s="26" t="s">
        <v>99</v>
      </c>
      <c r="B36" s="44"/>
      <c r="C36" s="27" t="s">
        <v>89</v>
      </c>
      <c r="D36" s="45"/>
      <c r="E36" s="45"/>
      <c r="F36" s="27"/>
      <c r="G36" s="27"/>
      <c r="H36" s="27"/>
      <c r="I36" s="27"/>
      <c r="J36" s="44"/>
      <c r="K36" s="44"/>
      <c r="L36" s="44"/>
      <c r="M36" s="44"/>
    </row>
    <row r="37" spans="1:13" s="47" customFormat="1" ht="6" customHeight="1">
      <c r="A37" s="26"/>
      <c r="B37" s="44"/>
      <c r="C37" s="27"/>
      <c r="E37" s="45"/>
      <c r="F37" s="27"/>
      <c r="G37" s="27"/>
      <c r="H37" s="27"/>
      <c r="I37" s="27"/>
      <c r="J37" s="44"/>
      <c r="K37" s="44"/>
      <c r="L37" s="44"/>
      <c r="M37" s="44"/>
    </row>
    <row r="38" spans="1:13" s="47" customFormat="1" ht="12.75">
      <c r="A38" s="26" t="s">
        <v>24</v>
      </c>
      <c r="B38" s="44"/>
      <c r="C38" s="62" t="s">
        <v>103</v>
      </c>
      <c r="E38" s="45"/>
      <c r="F38" s="27"/>
      <c r="G38" s="27"/>
      <c r="H38" s="27"/>
      <c r="I38" s="27"/>
      <c r="J38" s="44"/>
      <c r="K38" s="44"/>
      <c r="L38" s="44"/>
      <c r="M38" s="44"/>
    </row>
    <row r="39" spans="1:13" s="47" customFormat="1" ht="6" customHeight="1">
      <c r="A39" s="26"/>
      <c r="B39" s="44"/>
      <c r="C39" s="27"/>
      <c r="E39" s="45"/>
      <c r="F39" s="27"/>
      <c r="G39" s="27"/>
      <c r="H39" s="27"/>
      <c r="I39" s="27"/>
      <c r="J39" s="44"/>
      <c r="K39" s="44"/>
      <c r="L39" s="44"/>
      <c r="M39" s="44"/>
    </row>
    <row r="40" spans="1:13" s="47" customFormat="1" ht="12.75">
      <c r="A40" s="26" t="s">
        <v>26</v>
      </c>
      <c r="B40" s="44"/>
      <c r="C40" s="44" t="s">
        <v>65</v>
      </c>
      <c r="E40" s="45"/>
      <c r="F40" s="46"/>
      <c r="G40" s="44"/>
      <c r="H40" s="44"/>
      <c r="I40" s="44"/>
      <c r="J40" s="44"/>
      <c r="K40" s="44"/>
      <c r="L40" s="44"/>
      <c r="M40" s="44"/>
    </row>
    <row r="41" spans="1:13" s="47" customFormat="1" ht="12.75">
      <c r="A41" s="26"/>
      <c r="B41" s="44"/>
      <c r="C41" s="44" t="s">
        <v>66</v>
      </c>
      <c r="E41" s="45"/>
      <c r="F41" s="46"/>
      <c r="G41" s="44"/>
      <c r="H41" s="44"/>
      <c r="I41" s="44"/>
      <c r="J41" s="44"/>
      <c r="K41" s="44"/>
      <c r="L41" s="44"/>
      <c r="M41" s="44"/>
    </row>
    <row r="42" spans="1:13" s="47" customFormat="1" ht="6" customHeight="1">
      <c r="A42" s="26"/>
      <c r="B42" s="44"/>
      <c r="C42" s="44"/>
      <c r="E42" s="45"/>
      <c r="F42" s="46"/>
      <c r="G42" s="44"/>
      <c r="H42" s="44"/>
      <c r="I42" s="44"/>
      <c r="J42" s="44"/>
      <c r="K42" s="44"/>
      <c r="L42" s="44"/>
      <c r="M42" s="44"/>
    </row>
    <row r="43" spans="1:13" s="47" customFormat="1" ht="12.75">
      <c r="A43" s="26" t="s">
        <v>29</v>
      </c>
      <c r="B43" s="44"/>
      <c r="C43" s="44" t="s">
        <v>30</v>
      </c>
      <c r="E43" s="45"/>
      <c r="F43" s="46"/>
      <c r="G43" s="44"/>
      <c r="H43" s="44"/>
      <c r="I43" s="44"/>
      <c r="J43" s="44"/>
      <c r="K43" s="44"/>
      <c r="L43" s="44"/>
      <c r="M43" s="44"/>
    </row>
    <row r="44" spans="1:13" s="47" customFormat="1" ht="6" customHeight="1">
      <c r="A44" s="26"/>
      <c r="B44" s="44"/>
      <c r="C44" s="44"/>
      <c r="D44" s="44"/>
      <c r="E44" s="45"/>
      <c r="F44" s="46"/>
      <c r="G44" s="44"/>
      <c r="H44" s="44"/>
      <c r="I44" s="44"/>
      <c r="J44" s="44"/>
      <c r="K44" s="44"/>
      <c r="L44" s="44"/>
      <c r="M44" s="44"/>
    </row>
    <row r="45" spans="1:12" s="47" customFormat="1" ht="12.75">
      <c r="A45" s="26" t="s">
        <v>76</v>
      </c>
      <c r="B45" s="44"/>
      <c r="C45" s="44" t="s">
        <v>105</v>
      </c>
      <c r="D45" s="45"/>
      <c r="E45" s="46"/>
      <c r="F45" s="44"/>
      <c r="G45" s="44"/>
      <c r="H45" s="44"/>
      <c r="I45" s="44"/>
      <c r="J45" s="44"/>
      <c r="K45" s="44"/>
      <c r="L45" s="44"/>
    </row>
    <row r="46" spans="1:12" s="47" customFormat="1" ht="12.75">
      <c r="A46" s="26"/>
      <c r="B46" s="44"/>
      <c r="C46" s="44" t="s">
        <v>85</v>
      </c>
      <c r="D46" s="45"/>
      <c r="E46" s="46"/>
      <c r="F46" s="44"/>
      <c r="G46" s="44"/>
      <c r="H46" s="44"/>
      <c r="I46" s="44"/>
      <c r="J46" s="44"/>
      <c r="K46" s="44"/>
      <c r="L46" s="44"/>
    </row>
    <row r="47" spans="1:12" s="47" customFormat="1" ht="12.75">
      <c r="A47" s="26"/>
      <c r="B47" s="44"/>
      <c r="C47" s="44" t="s">
        <v>86</v>
      </c>
      <c r="D47" s="45"/>
      <c r="E47" s="46"/>
      <c r="F47" s="44"/>
      <c r="G47" s="44"/>
      <c r="H47" s="44"/>
      <c r="I47" s="44"/>
      <c r="J47" s="44"/>
      <c r="K47" s="44"/>
      <c r="L47" s="44"/>
    </row>
    <row r="48" spans="1:13" s="47" customFormat="1" ht="6" customHeight="1">
      <c r="A48" s="26"/>
      <c r="B48" s="44"/>
      <c r="C48" s="44"/>
      <c r="D48" s="44"/>
      <c r="E48" s="45"/>
      <c r="F48" s="46"/>
      <c r="G48" s="44"/>
      <c r="H48" s="44"/>
      <c r="I48" s="44"/>
      <c r="J48" s="44"/>
      <c r="K48" s="44"/>
      <c r="L48" s="44"/>
      <c r="M48" s="44"/>
    </row>
    <row r="49" spans="1:12" s="47" customFormat="1" ht="12.75">
      <c r="A49" s="26" t="s">
        <v>31</v>
      </c>
      <c r="B49" s="44"/>
      <c r="C49" s="44" t="s">
        <v>106</v>
      </c>
      <c r="D49" s="45"/>
      <c r="E49" s="46"/>
      <c r="F49" s="44"/>
      <c r="G49" s="44"/>
      <c r="H49" s="44"/>
      <c r="I49" s="44"/>
      <c r="J49" s="44"/>
      <c r="K49" s="44"/>
      <c r="L49" s="44"/>
    </row>
    <row r="50" spans="1:12" s="47" customFormat="1" ht="12.75">
      <c r="A50" s="26"/>
      <c r="B50" s="44"/>
      <c r="C50" s="44" t="s">
        <v>107</v>
      </c>
      <c r="D50" s="45"/>
      <c r="E50" s="46"/>
      <c r="F50" s="44"/>
      <c r="G50" s="44"/>
      <c r="H50" s="44"/>
      <c r="I50" s="44"/>
      <c r="J50" s="44"/>
      <c r="K50" s="44"/>
      <c r="L50" s="44"/>
    </row>
    <row r="51" spans="1:13" s="47" customFormat="1" ht="6" customHeight="1">
      <c r="A51" s="26"/>
      <c r="B51" s="44"/>
      <c r="C51" s="44"/>
      <c r="E51" s="45"/>
      <c r="F51" s="46"/>
      <c r="G51" s="44"/>
      <c r="H51" s="44"/>
      <c r="I51" s="44"/>
      <c r="J51" s="44"/>
      <c r="K51" s="44"/>
      <c r="L51" s="44"/>
      <c r="M51" s="44"/>
    </row>
    <row r="52" spans="1:12" s="47" customFormat="1" ht="12.75">
      <c r="A52" s="26" t="s">
        <v>88</v>
      </c>
      <c r="B52" s="44"/>
      <c r="C52" s="44" t="s">
        <v>80</v>
      </c>
      <c r="D52" s="45"/>
      <c r="E52" s="46"/>
      <c r="F52" s="44"/>
      <c r="G52" s="44"/>
      <c r="H52" s="44"/>
      <c r="I52" s="44"/>
      <c r="J52" s="44"/>
      <c r="K52" s="44"/>
      <c r="L52" s="44"/>
    </row>
    <row r="53" spans="1:12" s="47" customFormat="1" ht="12.75">
      <c r="A53" s="29"/>
      <c r="B53" s="44"/>
      <c r="C53" s="44" t="s">
        <v>81</v>
      </c>
      <c r="D53" s="45"/>
      <c r="E53" s="46"/>
      <c r="F53" s="44"/>
      <c r="G53" s="44"/>
      <c r="H53" s="44"/>
      <c r="I53" s="44"/>
      <c r="J53" s="44"/>
      <c r="K53" s="44"/>
      <c r="L53" s="44"/>
    </row>
    <row r="54" spans="1:13" s="47" customFormat="1" ht="6" customHeight="1">
      <c r="A54" s="30"/>
      <c r="B54" s="52"/>
      <c r="C54" s="52"/>
      <c r="E54" s="52"/>
      <c r="F54" s="53"/>
      <c r="G54" s="52"/>
      <c r="H54" s="52"/>
      <c r="I54" s="52"/>
      <c r="J54" s="52"/>
      <c r="K54" s="52"/>
      <c r="L54" s="52"/>
      <c r="M54" s="52"/>
    </row>
    <row r="55" spans="1:13" s="47" customFormat="1" ht="12.75">
      <c r="A55" s="26" t="s">
        <v>53</v>
      </c>
      <c r="B55" s="44"/>
      <c r="C55" s="44" t="s">
        <v>67</v>
      </c>
      <c r="E55" s="45"/>
      <c r="F55" s="46"/>
      <c r="G55" s="44"/>
      <c r="H55" s="44"/>
      <c r="I55" s="44"/>
      <c r="J55" s="44"/>
      <c r="K55" s="44"/>
      <c r="L55" s="44"/>
      <c r="M55" s="45"/>
    </row>
    <row r="56" spans="1:13" s="47" customFormat="1" ht="12.75">
      <c r="A56" s="29"/>
      <c r="B56" s="44"/>
      <c r="C56" s="44" t="s">
        <v>68</v>
      </c>
      <c r="E56" s="45"/>
      <c r="F56" s="46"/>
      <c r="G56" s="44"/>
      <c r="H56" s="44"/>
      <c r="I56" s="44"/>
      <c r="J56" s="44"/>
      <c r="K56" s="44"/>
      <c r="L56" s="44"/>
      <c r="M56" s="45"/>
    </row>
    <row r="57" spans="1:13" s="47" customFormat="1" ht="12.75">
      <c r="A57" s="29"/>
      <c r="B57" s="44"/>
      <c r="C57" s="44" t="s">
        <v>69</v>
      </c>
      <c r="E57" s="45"/>
      <c r="F57" s="46"/>
      <c r="G57" s="44"/>
      <c r="H57" s="44"/>
      <c r="I57" s="44"/>
      <c r="J57" s="44"/>
      <c r="K57" s="44"/>
      <c r="L57" s="44"/>
      <c r="M57" s="45"/>
    </row>
    <row r="58" spans="1:13" ht="12.75">
      <c r="A58" s="30"/>
      <c r="B58" s="31"/>
      <c r="C58" s="31"/>
      <c r="D58" s="44"/>
      <c r="E58" s="31"/>
      <c r="F58" s="32"/>
      <c r="G58" s="31"/>
      <c r="H58" s="31"/>
      <c r="I58" s="31"/>
      <c r="J58" s="31"/>
      <c r="K58" s="31"/>
      <c r="L58" s="31"/>
      <c r="M58" s="31"/>
    </row>
    <row r="59" spans="1:13" s="24" customFormat="1" ht="12.75">
      <c r="A59" s="144" t="s">
        <v>32</v>
      </c>
      <c r="B59" s="145"/>
      <c r="C59" s="145"/>
      <c r="D59" s="145"/>
      <c r="E59" s="145"/>
      <c r="F59" s="145"/>
      <c r="G59" s="145"/>
      <c r="H59" s="145"/>
      <c r="I59" s="145"/>
      <c r="J59" s="145"/>
      <c r="K59" s="145"/>
      <c r="L59" s="145"/>
      <c r="M59" s="146"/>
    </row>
    <row r="60" ht="12.75">
      <c r="A60" s="25"/>
    </row>
    <row r="61" spans="1:13" ht="13.5">
      <c r="A61" s="33"/>
      <c r="E61" s="10" t="s">
        <v>10</v>
      </c>
      <c r="F61" s="143" t="s">
        <v>90</v>
      </c>
      <c r="G61" s="143"/>
      <c r="H61" s="143"/>
      <c r="I61" s="143"/>
      <c r="J61" s="10" t="s">
        <v>11</v>
      </c>
      <c r="K61" s="10" t="s">
        <v>83</v>
      </c>
      <c r="L61" s="10" t="s">
        <v>51</v>
      </c>
      <c r="M61" s="35"/>
    </row>
    <row r="62" spans="1:13" ht="12.75">
      <c r="A62" s="36"/>
      <c r="E62" s="8" t="s">
        <v>18</v>
      </c>
      <c r="F62" s="8" t="s">
        <v>91</v>
      </c>
      <c r="G62" s="56" t="s">
        <v>92</v>
      </c>
      <c r="H62" s="37"/>
      <c r="I62" s="8" t="s">
        <v>93</v>
      </c>
      <c r="J62" s="8" t="s">
        <v>20</v>
      </c>
      <c r="K62" s="8" t="s">
        <v>84</v>
      </c>
      <c r="L62" s="8" t="s">
        <v>52</v>
      </c>
      <c r="M62" s="35"/>
    </row>
    <row r="63" spans="2:13" ht="12.75">
      <c r="B63" s="40" t="s">
        <v>61</v>
      </c>
      <c r="C63" s="40"/>
      <c r="D63" s="40"/>
      <c r="E63" s="57">
        <v>0.35</v>
      </c>
      <c r="F63" s="57">
        <v>0.31</v>
      </c>
      <c r="G63" s="58">
        <v>0.0875</v>
      </c>
      <c r="H63" s="59"/>
      <c r="I63" s="57">
        <v>0.0125</v>
      </c>
      <c r="J63" s="57">
        <v>0.1</v>
      </c>
      <c r="K63" s="57">
        <v>0.1</v>
      </c>
      <c r="L63" s="57">
        <v>0.04</v>
      </c>
      <c r="M63" s="39"/>
    </row>
    <row r="64" spans="2:13" ht="12.75">
      <c r="B64" s="40" t="s">
        <v>109</v>
      </c>
      <c r="C64" s="40"/>
      <c r="D64" s="40"/>
      <c r="E64" s="57">
        <v>0.39</v>
      </c>
      <c r="F64" s="57">
        <v>0.31</v>
      </c>
      <c r="G64" s="58">
        <v>0.0875</v>
      </c>
      <c r="H64" s="59"/>
      <c r="I64" s="57">
        <v>0.0125</v>
      </c>
      <c r="J64" s="57">
        <v>0.1</v>
      </c>
      <c r="K64" s="57">
        <v>0.1</v>
      </c>
      <c r="L64" s="57">
        <v>0</v>
      </c>
      <c r="M64" s="39"/>
    </row>
    <row r="65" spans="2:13" ht="12.75">
      <c r="B65" s="40"/>
      <c r="C65" s="40"/>
      <c r="D65" s="40"/>
      <c r="E65" s="27"/>
      <c r="F65" s="28"/>
      <c r="G65" s="41"/>
      <c r="H65" s="27"/>
      <c r="I65" s="41"/>
      <c r="J65" s="41"/>
      <c r="K65" s="41"/>
      <c r="L65" s="41"/>
      <c r="M65" s="39"/>
    </row>
    <row r="66" spans="1:13" s="24" customFormat="1" ht="12.75">
      <c r="A66" s="147" t="s">
        <v>46</v>
      </c>
      <c r="B66" s="148"/>
      <c r="C66" s="148"/>
      <c r="D66" s="148"/>
      <c r="E66" s="148"/>
      <c r="F66" s="148"/>
      <c r="G66" s="148"/>
      <c r="H66" s="148"/>
      <c r="I66" s="148"/>
      <c r="J66" s="148"/>
      <c r="K66" s="148"/>
      <c r="L66" s="148"/>
      <c r="M66" s="149"/>
    </row>
    <row r="67" spans="1:6" ht="10.5" customHeight="1">
      <c r="A67" s="25"/>
      <c r="E67"/>
      <c r="F67" s="16"/>
    </row>
    <row r="68" spans="1:13" ht="51.75" customHeight="1">
      <c r="A68" s="150" t="s">
        <v>111</v>
      </c>
      <c r="B68" s="151"/>
      <c r="C68" s="151"/>
      <c r="D68" s="151"/>
      <c r="E68" s="151"/>
      <c r="F68" s="151"/>
      <c r="G68" s="151"/>
      <c r="H68" s="151"/>
      <c r="I68" s="151"/>
      <c r="J68" s="151"/>
      <c r="K68" s="151"/>
      <c r="L68" s="151"/>
      <c r="M68" s="151"/>
    </row>
    <row r="69" spans="1:6" ht="12.75">
      <c r="A69" s="16"/>
      <c r="E69"/>
      <c r="F69" s="16"/>
    </row>
    <row r="70" spans="2:5" ht="12.75">
      <c r="B70" s="25" t="s">
        <v>47</v>
      </c>
      <c r="C70" s="25"/>
      <c r="D70" s="25"/>
      <c r="E70" s="16">
        <v>865678</v>
      </c>
    </row>
    <row r="71" spans="2:5" ht="12.75">
      <c r="B71" s="25" t="s">
        <v>48</v>
      </c>
      <c r="C71" s="25"/>
      <c r="D71" s="25"/>
      <c r="E71" s="16">
        <v>288560</v>
      </c>
    </row>
    <row r="72" spans="2:5" ht="7.5" customHeight="1">
      <c r="B72" s="16" t="s">
        <v>33</v>
      </c>
      <c r="E72" s="16" t="s">
        <v>33</v>
      </c>
    </row>
    <row r="73" ht="12.75">
      <c r="E73" s="16" t="s">
        <v>33</v>
      </c>
    </row>
    <row r="74" ht="12.75">
      <c r="A74" s="29" t="s">
        <v>100</v>
      </c>
    </row>
  </sheetData>
  <sheetProtection/>
  <mergeCells count="12">
    <mergeCell ref="I10:M10"/>
    <mergeCell ref="A31:M31"/>
    <mergeCell ref="A59:M59"/>
    <mergeCell ref="F61:I61"/>
    <mergeCell ref="A66:M66"/>
    <mergeCell ref="A68:M68"/>
    <mergeCell ref="A1:M1"/>
    <mergeCell ref="A2:M2"/>
    <mergeCell ref="A3:M3"/>
    <mergeCell ref="A4:M4"/>
    <mergeCell ref="A5:M5"/>
    <mergeCell ref="A8:M8"/>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69"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M74"/>
  <sheetViews>
    <sheetView zoomScalePageLayoutView="0" workbookViewId="0" topLeftCell="A1">
      <selection activeCell="A1" sqref="A1:M1"/>
    </sheetView>
  </sheetViews>
  <sheetFormatPr defaultColWidth="9.140625" defaultRowHeight="12.75"/>
  <cols>
    <col min="1" max="1" width="9.28125" style="3" customWidth="1"/>
    <col min="2" max="2" width="14.140625" style="16" customWidth="1"/>
    <col min="3" max="3" width="13.42187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3" width="13.00390625" style="16" customWidth="1"/>
    <col min="14" max="14" width="12.7109375" style="0" customWidth="1"/>
  </cols>
  <sheetData>
    <row r="1" spans="1:13" ht="18">
      <c r="A1" s="152" t="s">
        <v>102</v>
      </c>
      <c r="B1" s="152"/>
      <c r="C1" s="152"/>
      <c r="D1" s="152"/>
      <c r="E1" s="152"/>
      <c r="F1" s="152"/>
      <c r="G1" s="152"/>
      <c r="H1" s="152"/>
      <c r="I1" s="152"/>
      <c r="J1" s="152"/>
      <c r="K1" s="152"/>
      <c r="L1" s="152"/>
      <c r="M1" s="152"/>
    </row>
    <row r="2" spans="1:13" ht="15">
      <c r="A2" s="153" t="s">
        <v>1</v>
      </c>
      <c r="B2" s="153"/>
      <c r="C2" s="153"/>
      <c r="D2" s="153"/>
      <c r="E2" s="153"/>
      <c r="F2" s="153"/>
      <c r="G2" s="153"/>
      <c r="H2" s="153"/>
      <c r="I2" s="153"/>
      <c r="J2" s="153"/>
      <c r="K2" s="153"/>
      <c r="L2" s="153"/>
      <c r="M2" s="153"/>
    </row>
    <row r="3" spans="1:13" s="1" customFormat="1" ht="15">
      <c r="A3" s="153" t="s">
        <v>2</v>
      </c>
      <c r="B3" s="153"/>
      <c r="C3" s="153"/>
      <c r="D3" s="153"/>
      <c r="E3" s="153"/>
      <c r="F3" s="153"/>
      <c r="G3" s="153"/>
      <c r="H3" s="153"/>
      <c r="I3" s="153"/>
      <c r="J3" s="153"/>
      <c r="K3" s="153"/>
      <c r="L3" s="153"/>
      <c r="M3" s="153"/>
    </row>
    <row r="4" spans="1:13" s="1" customFormat="1" ht="12.75">
      <c r="A4" s="138" t="s">
        <v>3</v>
      </c>
      <c r="B4" s="139"/>
      <c r="C4" s="139"/>
      <c r="D4" s="139"/>
      <c r="E4" s="139"/>
      <c r="F4" s="139"/>
      <c r="G4" s="139"/>
      <c r="H4" s="139"/>
      <c r="I4" s="139"/>
      <c r="J4" s="139"/>
      <c r="K4" s="139"/>
      <c r="L4" s="139"/>
      <c r="M4" s="139"/>
    </row>
    <row r="5" spans="1:13" s="1" customFormat="1" ht="14.25">
      <c r="A5" s="154" t="s">
        <v>4</v>
      </c>
      <c r="B5" s="154"/>
      <c r="C5" s="154"/>
      <c r="D5" s="154"/>
      <c r="E5" s="154"/>
      <c r="F5" s="154"/>
      <c r="G5" s="154"/>
      <c r="H5" s="154"/>
      <c r="I5" s="154"/>
      <c r="J5" s="154"/>
      <c r="K5" s="154"/>
      <c r="L5" s="154"/>
      <c r="M5" s="154"/>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44" t="s">
        <v>101</v>
      </c>
      <c r="B8" s="145"/>
      <c r="C8" s="145"/>
      <c r="D8" s="145"/>
      <c r="E8" s="145"/>
      <c r="F8" s="145"/>
      <c r="G8" s="145"/>
      <c r="H8" s="145"/>
      <c r="I8" s="145"/>
      <c r="J8" s="145"/>
      <c r="K8" s="145"/>
      <c r="L8" s="145"/>
      <c r="M8" s="14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43" t="s">
        <v>6</v>
      </c>
      <c r="J10" s="143"/>
      <c r="K10" s="143"/>
      <c r="L10" s="143"/>
      <c r="M10" s="143"/>
    </row>
    <row r="11" spans="1:13" s="1" customFormat="1" ht="12.75">
      <c r="A11" s="3"/>
      <c r="B11" s="5"/>
      <c r="C11" s="5"/>
      <c r="D11" s="48"/>
      <c r="E11" s="5"/>
      <c r="F11" s="6"/>
      <c r="G11" s="5"/>
      <c r="H11" s="5"/>
      <c r="I11" s="5"/>
      <c r="J11" s="5"/>
      <c r="K11" s="5"/>
      <c r="L11" s="5"/>
      <c r="M11" s="5"/>
    </row>
    <row r="12" spans="1:13" s="12" customFormat="1" ht="12">
      <c r="A12" s="9"/>
      <c r="B12" s="10" t="s">
        <v>7</v>
      </c>
      <c r="C12" s="10" t="s">
        <v>75</v>
      </c>
      <c r="D12" s="10" t="s">
        <v>7</v>
      </c>
      <c r="E12" s="10"/>
      <c r="F12" s="11" t="s">
        <v>8</v>
      </c>
      <c r="G12" s="10" t="s">
        <v>9</v>
      </c>
      <c r="H12" s="10"/>
      <c r="I12" s="10" t="s">
        <v>10</v>
      </c>
      <c r="J12" s="10" t="s">
        <v>82</v>
      </c>
      <c r="K12" s="10" t="s">
        <v>11</v>
      </c>
      <c r="L12" s="10" t="s">
        <v>83</v>
      </c>
      <c r="M12" s="10" t="s">
        <v>51</v>
      </c>
    </row>
    <row r="13" spans="1:13" s="12" customFormat="1" ht="12">
      <c r="A13" s="13" t="s">
        <v>12</v>
      </c>
      <c r="B13" s="8" t="s">
        <v>13</v>
      </c>
      <c r="C13" s="8" t="s">
        <v>20</v>
      </c>
      <c r="D13" s="8" t="s">
        <v>14</v>
      </c>
      <c r="E13" s="8" t="s">
        <v>15</v>
      </c>
      <c r="F13" s="14" t="s">
        <v>16</v>
      </c>
      <c r="G13" s="8" t="s">
        <v>17</v>
      </c>
      <c r="H13" s="15"/>
      <c r="I13" s="8" t="s">
        <v>18</v>
      </c>
      <c r="J13" s="8" t="s">
        <v>19</v>
      </c>
      <c r="K13" s="8" t="s">
        <v>20</v>
      </c>
      <c r="L13" s="8" t="s">
        <v>84</v>
      </c>
      <c r="M13" s="8" t="s">
        <v>52</v>
      </c>
    </row>
    <row r="14" ht="12.75">
      <c r="D14" s="45"/>
    </row>
    <row r="15" spans="1:13" ht="12.75">
      <c r="A15" s="3">
        <v>41365</v>
      </c>
      <c r="B15" s="16">
        <v>92039322.2</v>
      </c>
      <c r="C15" s="16">
        <f>827575.94-155166.35</f>
        <v>672409.59</v>
      </c>
      <c r="D15" s="45">
        <f aca="true" t="shared" si="0" ref="D15:D26">+B15-C15-E15</f>
        <v>83920293.46</v>
      </c>
      <c r="E15" s="16">
        <v>7446619.15</v>
      </c>
      <c r="F15" s="17">
        <v>940</v>
      </c>
      <c r="G15" s="16">
        <f>E15/F15/30</f>
        <v>264.06450886524823</v>
      </c>
      <c r="I15" s="16">
        <v>2606316.71</v>
      </c>
      <c r="J15" s="16">
        <v>3053113.85</v>
      </c>
      <c r="K15" s="16">
        <v>744661.93</v>
      </c>
      <c r="L15" s="16">
        <v>744661.93</v>
      </c>
      <c r="M15" s="16">
        <v>297864.79</v>
      </c>
    </row>
    <row r="16" spans="1:13" ht="12.75">
      <c r="A16" s="3">
        <v>41395</v>
      </c>
      <c r="B16" s="16">
        <v>87109100.97</v>
      </c>
      <c r="C16" s="16">
        <f>654907.4-44872.3</f>
        <v>610035.1</v>
      </c>
      <c r="D16" s="45">
        <f t="shared" si="0"/>
        <v>79386044.04</v>
      </c>
      <c r="E16" s="16">
        <v>7113021.83</v>
      </c>
      <c r="F16" s="17">
        <v>940</v>
      </c>
      <c r="G16" s="16">
        <f>E16/F16/31</f>
        <v>244.09820967741936</v>
      </c>
      <c r="I16" s="16">
        <v>2489557.63</v>
      </c>
      <c r="J16" s="16">
        <v>2916338.94</v>
      </c>
      <c r="K16" s="16">
        <v>711302.18</v>
      </c>
      <c r="L16" s="16">
        <v>711302.18</v>
      </c>
      <c r="M16" s="16">
        <v>284520.87</v>
      </c>
    </row>
    <row r="17" spans="1:13" ht="12.75">
      <c r="A17" s="3">
        <v>41426</v>
      </c>
      <c r="B17" s="16">
        <v>89443055.11</v>
      </c>
      <c r="C17" s="16">
        <f>803402.21-26749.7</f>
        <v>776652.51</v>
      </c>
      <c r="D17" s="45">
        <f t="shared" si="0"/>
        <v>81575463.63</v>
      </c>
      <c r="E17" s="16">
        <v>7090938.97</v>
      </c>
      <c r="F17" s="17">
        <v>940</v>
      </c>
      <c r="G17" s="16">
        <f>E17/F17/30</f>
        <v>251.45173652482268</v>
      </c>
      <c r="I17" s="16">
        <v>2481828.65</v>
      </c>
      <c r="J17" s="16">
        <v>2907285</v>
      </c>
      <c r="K17" s="16">
        <v>709093.9</v>
      </c>
      <c r="L17" s="16">
        <v>709093.9</v>
      </c>
      <c r="M17" s="16">
        <v>283637.56</v>
      </c>
    </row>
    <row r="18" spans="1:13" ht="12.75">
      <c r="A18" s="3">
        <v>41456</v>
      </c>
      <c r="B18" s="16">
        <v>90175038.29</v>
      </c>
      <c r="C18" s="16">
        <v>833560.06</v>
      </c>
      <c r="D18" s="45">
        <f t="shared" si="0"/>
        <v>82208506.91</v>
      </c>
      <c r="E18" s="16">
        <v>7132971.32</v>
      </c>
      <c r="F18" s="17">
        <v>940</v>
      </c>
      <c r="G18" s="16">
        <f>E18/F18/31</f>
        <v>244.7828181194235</v>
      </c>
      <c r="I18" s="16">
        <v>2496539.96</v>
      </c>
      <c r="J18" s="16">
        <v>2924518.24</v>
      </c>
      <c r="K18" s="16">
        <v>713297.11</v>
      </c>
      <c r="L18" s="16">
        <v>713297.11</v>
      </c>
      <c r="M18" s="16">
        <v>285318.89</v>
      </c>
    </row>
    <row r="19" spans="1:13" ht="12.75">
      <c r="A19" s="3">
        <v>41487</v>
      </c>
      <c r="B19" s="16">
        <v>68522169.57</v>
      </c>
      <c r="C19" s="16">
        <f>342072.33-114625.5</f>
        <v>227446.83000000002</v>
      </c>
      <c r="D19" s="45">
        <f t="shared" si="0"/>
        <v>62506257.169999994</v>
      </c>
      <c r="E19" s="16">
        <v>5788465.57</v>
      </c>
      <c r="F19" s="17">
        <v>940</v>
      </c>
      <c r="G19" s="16">
        <f>E19/F19/31</f>
        <v>198.64329341111875</v>
      </c>
      <c r="I19" s="16">
        <v>2025962.93</v>
      </c>
      <c r="J19" s="16">
        <v>2373270.9</v>
      </c>
      <c r="K19" s="16">
        <v>578846.57</v>
      </c>
      <c r="L19" s="16">
        <v>578846.57</v>
      </c>
      <c r="M19" s="16">
        <v>231538.61</v>
      </c>
    </row>
    <row r="20" spans="1:13" ht="12.75">
      <c r="A20" s="3">
        <v>41518</v>
      </c>
      <c r="B20" s="16">
        <v>66701662.66</v>
      </c>
      <c r="C20" s="16">
        <f>329000.24-31668.4</f>
        <v>297331.83999999997</v>
      </c>
      <c r="D20" s="45">
        <f t="shared" si="0"/>
        <v>60803179.769999996</v>
      </c>
      <c r="E20" s="16">
        <v>5601151.05</v>
      </c>
      <c r="F20" s="17">
        <v>940</v>
      </c>
      <c r="G20" s="16">
        <f>E20/F20/30</f>
        <v>198.62237765957445</v>
      </c>
      <c r="I20" s="16">
        <v>1960402.87</v>
      </c>
      <c r="J20" s="16">
        <v>2296471.93</v>
      </c>
      <c r="K20" s="16">
        <v>560115.11</v>
      </c>
      <c r="L20" s="16">
        <v>560115.11</v>
      </c>
      <c r="M20" s="16">
        <v>224046.09</v>
      </c>
    </row>
    <row r="21" spans="1:13" ht="12.75">
      <c r="A21" s="3">
        <v>41548</v>
      </c>
      <c r="B21" s="16">
        <v>66365858.76</v>
      </c>
      <c r="C21" s="16">
        <f>494553.97-16117.6</f>
        <v>478436.37</v>
      </c>
      <c r="D21" s="45">
        <f t="shared" si="0"/>
        <v>60573664.41</v>
      </c>
      <c r="E21" s="16">
        <v>5313757.98</v>
      </c>
      <c r="F21" s="17">
        <v>940</v>
      </c>
      <c r="G21" s="16">
        <f>E21/F21/31</f>
        <v>182.3527103637612</v>
      </c>
      <c r="I21" s="16">
        <v>1859815.3</v>
      </c>
      <c r="J21" s="16">
        <v>2178640.75</v>
      </c>
      <c r="K21" s="16">
        <v>531375.85</v>
      </c>
      <c r="L21" s="16">
        <v>531375.85</v>
      </c>
      <c r="M21" s="16">
        <v>212550.32</v>
      </c>
    </row>
    <row r="22" spans="1:13" ht="12.75">
      <c r="A22" s="3">
        <v>41579</v>
      </c>
      <c r="B22" s="16">
        <v>68913479.73</v>
      </c>
      <c r="C22" s="16">
        <f>710022.07-47114.25</f>
        <v>662907.82</v>
      </c>
      <c r="D22" s="45">
        <f t="shared" si="0"/>
        <v>62886389.52000001</v>
      </c>
      <c r="E22" s="16">
        <v>5364182.39</v>
      </c>
      <c r="F22" s="17">
        <v>940</v>
      </c>
      <c r="G22" s="16">
        <f>E22/F22/30</f>
        <v>190.21923368794327</v>
      </c>
      <c r="I22" s="16">
        <v>1877463.84</v>
      </c>
      <c r="J22" s="16">
        <v>2199314.8</v>
      </c>
      <c r="K22" s="16">
        <v>536418.26</v>
      </c>
      <c r="L22" s="16">
        <v>536418.26</v>
      </c>
      <c r="M22" s="16">
        <v>214567.29</v>
      </c>
    </row>
    <row r="23" spans="1:13" ht="12.75">
      <c r="A23" s="3">
        <v>41609</v>
      </c>
      <c r="B23" s="16">
        <v>63813976.32</v>
      </c>
      <c r="C23" s="16">
        <f>339858.09-68898.95</f>
        <v>270959.14</v>
      </c>
      <c r="D23" s="45">
        <f t="shared" si="0"/>
        <v>58236587.21</v>
      </c>
      <c r="E23" s="16">
        <v>5306429.97</v>
      </c>
      <c r="F23" s="17">
        <v>940</v>
      </c>
      <c r="G23" s="16">
        <f>E23/F23/31</f>
        <v>182.10123438572407</v>
      </c>
      <c r="I23" s="16">
        <v>1857250.5</v>
      </c>
      <c r="J23" s="16">
        <v>2175636.28</v>
      </c>
      <c r="K23" s="16">
        <v>530643.01</v>
      </c>
      <c r="L23" s="16">
        <v>530643.01</v>
      </c>
      <c r="M23" s="16">
        <v>212257.19</v>
      </c>
    </row>
    <row r="24" spans="1:13" ht="12.75">
      <c r="A24" s="3">
        <v>41640</v>
      </c>
      <c r="B24" s="16">
        <v>61389937.02</v>
      </c>
      <c r="C24" s="16">
        <f>416399.39-38266.48</f>
        <v>378132.91000000003</v>
      </c>
      <c r="D24" s="45">
        <f t="shared" si="0"/>
        <v>56015722.440000005</v>
      </c>
      <c r="E24" s="16">
        <v>4996081.67</v>
      </c>
      <c r="F24" s="17">
        <v>940</v>
      </c>
      <c r="G24" s="16">
        <f>E24/F24/31</f>
        <v>171.45098387096772</v>
      </c>
      <c r="I24" s="16">
        <v>1748628.58</v>
      </c>
      <c r="J24" s="16">
        <v>2048393.48</v>
      </c>
      <c r="K24" s="16">
        <v>499608.16</v>
      </c>
      <c r="L24" s="16">
        <v>499608.16</v>
      </c>
      <c r="M24" s="16">
        <v>199843.25</v>
      </c>
    </row>
    <row r="25" spans="1:13" ht="12.75">
      <c r="A25" s="3">
        <v>41671</v>
      </c>
      <c r="B25" s="16">
        <v>65671454.12</v>
      </c>
      <c r="C25" s="16">
        <f>400089.42-45337.43</f>
        <v>354751.99</v>
      </c>
      <c r="D25" s="45">
        <f t="shared" si="0"/>
        <v>59983828.099999994</v>
      </c>
      <c r="E25" s="16">
        <v>5332874.03</v>
      </c>
      <c r="F25" s="17">
        <v>940</v>
      </c>
      <c r="G25" s="16">
        <f>E25/F25/28</f>
        <v>202.61679445288755</v>
      </c>
      <c r="I25" s="16">
        <v>2025965.74</v>
      </c>
      <c r="J25" s="16">
        <v>2186478.34</v>
      </c>
      <c r="K25" s="16">
        <v>533287.41</v>
      </c>
      <c r="L25" s="16">
        <v>533287.41</v>
      </c>
      <c r="M25" s="16">
        <v>53855.14</v>
      </c>
    </row>
    <row r="26" spans="1:13" ht="12.75">
      <c r="A26" s="3">
        <v>41699</v>
      </c>
      <c r="B26" s="16">
        <v>79861807.55</v>
      </c>
      <c r="C26" s="16">
        <f>719022.73-14948.1</f>
        <v>704074.63</v>
      </c>
      <c r="D26" s="45">
        <f t="shared" si="0"/>
        <v>72823493.14</v>
      </c>
      <c r="E26" s="16">
        <v>6334239.78</v>
      </c>
      <c r="F26" s="17">
        <v>940</v>
      </c>
      <c r="G26" s="16">
        <f>E26/F26/31</f>
        <v>217.37267604667127</v>
      </c>
      <c r="I26" s="16">
        <v>2470353.51</v>
      </c>
      <c r="J26" s="16">
        <v>2597038.31</v>
      </c>
      <c r="K26" s="16">
        <v>633423.97</v>
      </c>
      <c r="L26" s="16">
        <v>633423.97</v>
      </c>
      <c r="M26" s="16">
        <v>0</v>
      </c>
    </row>
    <row r="27" spans="1:13" ht="13.5" thickBot="1">
      <c r="A27" s="3" t="s">
        <v>21</v>
      </c>
      <c r="B27" s="19">
        <f>SUM(B15:B26)</f>
        <v>900006862.3000001</v>
      </c>
      <c r="C27" s="19">
        <f>SUM(C15:C26)</f>
        <v>6266698.79</v>
      </c>
      <c r="D27" s="49">
        <f>SUM(D15:D26)</f>
        <v>820919429.8000001</v>
      </c>
      <c r="E27" s="19">
        <f>SUM(E15:E26)</f>
        <v>72820733.71000001</v>
      </c>
      <c r="I27" s="19">
        <f>SUM(I15:I26)</f>
        <v>25900086.22</v>
      </c>
      <c r="J27" s="19">
        <f>SUM(J15:J26)</f>
        <v>29856500.82</v>
      </c>
      <c r="K27" s="19">
        <f>SUM(K15:K26)</f>
        <v>7282073.459999999</v>
      </c>
      <c r="L27" s="19">
        <f>SUM(L15:L26)</f>
        <v>7282073.459999999</v>
      </c>
      <c r="M27" s="19">
        <f>SUM(M15:M26)</f>
        <v>2500000</v>
      </c>
    </row>
    <row r="28" spans="2:13" ht="10.5" customHeight="1" thickTop="1">
      <c r="B28" s="20"/>
      <c r="C28" s="20"/>
      <c r="D28" s="18"/>
      <c r="E28" s="20"/>
      <c r="I28" s="20"/>
      <c r="J28" s="20"/>
      <c r="K28" s="20"/>
      <c r="L28" s="20"/>
      <c r="M28" s="20"/>
    </row>
    <row r="29" spans="1:13" s="23" customFormat="1" ht="12.75">
      <c r="A29" s="21"/>
      <c r="B29" s="22"/>
      <c r="C29" s="50">
        <f>C27/B27</f>
        <v>0.006962945564642946</v>
      </c>
      <c r="D29" s="50">
        <f>D27/B27</f>
        <v>0.9121257450216667</v>
      </c>
      <c r="E29" s="22">
        <f>E27/B27</f>
        <v>0.08091130941369046</v>
      </c>
      <c r="I29" s="22">
        <f>I27/$E$27</f>
        <v>0.3556691192256321</v>
      </c>
      <c r="J29" s="22">
        <f>J27/$E$27</f>
        <v>0.4099999999848944</v>
      </c>
      <c r="K29" s="22">
        <f>K27/$E$27</f>
        <v>0.10000000122217936</v>
      </c>
      <c r="L29" s="22">
        <f>L27/$E$27</f>
        <v>0.10000000122217936</v>
      </c>
      <c r="M29" s="22">
        <f>M27/$E$27</f>
        <v>0.03433088177820283</v>
      </c>
    </row>
    <row r="31" spans="1:13" s="24" customFormat="1" ht="12.75">
      <c r="A31" s="144" t="s">
        <v>22</v>
      </c>
      <c r="B31" s="145"/>
      <c r="C31" s="145"/>
      <c r="D31" s="145"/>
      <c r="E31" s="145"/>
      <c r="F31" s="145"/>
      <c r="G31" s="145"/>
      <c r="H31" s="145"/>
      <c r="I31" s="145"/>
      <c r="J31" s="145"/>
      <c r="K31" s="145"/>
      <c r="L31" s="145"/>
      <c r="M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3" s="47" customFormat="1" ht="6" customHeight="1">
      <c r="A35" s="26"/>
      <c r="B35" s="44"/>
      <c r="C35" s="27"/>
      <c r="E35" s="51"/>
      <c r="F35" s="51"/>
      <c r="G35" s="51"/>
      <c r="H35" s="51"/>
      <c r="I35" s="51"/>
      <c r="J35" s="51"/>
      <c r="K35" s="51"/>
      <c r="L35" s="51"/>
      <c r="M35" s="51"/>
    </row>
    <row r="36" spans="1:13" s="47" customFormat="1" ht="12.75">
      <c r="A36" s="26" t="s">
        <v>99</v>
      </c>
      <c r="B36" s="44"/>
      <c r="C36" s="27" t="s">
        <v>89</v>
      </c>
      <c r="D36" s="45"/>
      <c r="E36" s="45"/>
      <c r="F36" s="27"/>
      <c r="G36" s="27"/>
      <c r="H36" s="27"/>
      <c r="I36" s="27"/>
      <c r="J36" s="44"/>
      <c r="K36" s="44"/>
      <c r="L36" s="44"/>
      <c r="M36" s="44"/>
    </row>
    <row r="37" spans="1:13" s="47" customFormat="1" ht="6" customHeight="1">
      <c r="A37" s="26"/>
      <c r="B37" s="44"/>
      <c r="C37" s="27"/>
      <c r="E37" s="45"/>
      <c r="F37" s="27"/>
      <c r="G37" s="27"/>
      <c r="H37" s="27"/>
      <c r="I37" s="27"/>
      <c r="J37" s="44"/>
      <c r="K37" s="44"/>
      <c r="L37" s="44"/>
      <c r="M37" s="44"/>
    </row>
    <row r="38" spans="1:13" s="47" customFormat="1" ht="12.75">
      <c r="A38" s="26" t="s">
        <v>24</v>
      </c>
      <c r="B38" s="44"/>
      <c r="C38" s="62" t="s">
        <v>103</v>
      </c>
      <c r="E38" s="45"/>
      <c r="F38" s="27"/>
      <c r="G38" s="27"/>
      <c r="H38" s="27"/>
      <c r="I38" s="27"/>
      <c r="J38" s="44"/>
      <c r="K38" s="44"/>
      <c r="L38" s="44"/>
      <c r="M38" s="44"/>
    </row>
    <row r="39" spans="1:13" s="47" customFormat="1" ht="6" customHeight="1">
      <c r="A39" s="26"/>
      <c r="B39" s="44"/>
      <c r="C39" s="27"/>
      <c r="E39" s="45"/>
      <c r="F39" s="27"/>
      <c r="G39" s="27"/>
      <c r="H39" s="27"/>
      <c r="I39" s="27"/>
      <c r="J39" s="44"/>
      <c r="K39" s="44"/>
      <c r="L39" s="44"/>
      <c r="M39" s="44"/>
    </row>
    <row r="40" spans="1:13" s="47" customFormat="1" ht="12.75">
      <c r="A40" s="26" t="s">
        <v>26</v>
      </c>
      <c r="B40" s="44"/>
      <c r="C40" s="44" t="s">
        <v>65</v>
      </c>
      <c r="E40" s="45"/>
      <c r="F40" s="46"/>
      <c r="G40" s="44"/>
      <c r="H40" s="44"/>
      <c r="I40" s="44"/>
      <c r="J40" s="44"/>
      <c r="K40" s="44"/>
      <c r="L40" s="44"/>
      <c r="M40" s="44"/>
    </row>
    <row r="41" spans="1:13" s="47" customFormat="1" ht="12.75">
      <c r="A41" s="26"/>
      <c r="B41" s="44"/>
      <c r="C41" s="44" t="s">
        <v>66</v>
      </c>
      <c r="E41" s="45"/>
      <c r="F41" s="46"/>
      <c r="G41" s="44"/>
      <c r="H41" s="44"/>
      <c r="I41" s="44"/>
      <c r="J41" s="44"/>
      <c r="K41" s="44"/>
      <c r="L41" s="44"/>
      <c r="M41" s="44"/>
    </row>
    <row r="42" spans="1:13" s="47" customFormat="1" ht="6" customHeight="1">
      <c r="A42" s="26"/>
      <c r="B42" s="44"/>
      <c r="C42" s="44"/>
      <c r="E42" s="45"/>
      <c r="F42" s="46"/>
      <c r="G42" s="44"/>
      <c r="H42" s="44"/>
      <c r="I42" s="44"/>
      <c r="J42" s="44"/>
      <c r="K42" s="44"/>
      <c r="L42" s="44"/>
      <c r="M42" s="44"/>
    </row>
    <row r="43" spans="1:13" s="47" customFormat="1" ht="12.75">
      <c r="A43" s="26" t="s">
        <v>29</v>
      </c>
      <c r="B43" s="44"/>
      <c r="C43" s="44" t="s">
        <v>30</v>
      </c>
      <c r="E43" s="45"/>
      <c r="F43" s="46"/>
      <c r="G43" s="44"/>
      <c r="H43" s="44"/>
      <c r="I43" s="44"/>
      <c r="J43" s="44"/>
      <c r="K43" s="44"/>
      <c r="L43" s="44"/>
      <c r="M43" s="44"/>
    </row>
    <row r="44" spans="1:13" s="47" customFormat="1" ht="6" customHeight="1">
      <c r="A44" s="26"/>
      <c r="B44" s="44"/>
      <c r="C44" s="44"/>
      <c r="D44" s="44"/>
      <c r="E44" s="45"/>
      <c r="F44" s="46"/>
      <c r="G44" s="44"/>
      <c r="H44" s="44"/>
      <c r="I44" s="44"/>
      <c r="J44" s="44"/>
      <c r="K44" s="44"/>
      <c r="L44" s="44"/>
      <c r="M44" s="44"/>
    </row>
    <row r="45" spans="1:12" s="47" customFormat="1" ht="12.75">
      <c r="A45" s="26" t="s">
        <v>76</v>
      </c>
      <c r="B45" s="44"/>
      <c r="C45" s="44" t="s">
        <v>77</v>
      </c>
      <c r="D45" s="45"/>
      <c r="E45" s="46"/>
      <c r="F45" s="44"/>
      <c r="G45" s="44"/>
      <c r="H45" s="44"/>
      <c r="I45" s="44"/>
      <c r="J45" s="44"/>
      <c r="K45" s="44"/>
      <c r="L45" s="44"/>
    </row>
    <row r="46" spans="1:12" s="47" customFormat="1" ht="12.75">
      <c r="A46" s="26"/>
      <c r="B46" s="44"/>
      <c r="C46" s="44" t="s">
        <v>85</v>
      </c>
      <c r="D46" s="45"/>
      <c r="E46" s="46"/>
      <c r="F46" s="44"/>
      <c r="G46" s="44"/>
      <c r="H46" s="44"/>
      <c r="I46" s="44"/>
      <c r="J46" s="44"/>
      <c r="K46" s="44"/>
      <c r="L46" s="44"/>
    </row>
    <row r="47" spans="1:12" s="47" customFormat="1" ht="12.75">
      <c r="A47" s="26"/>
      <c r="B47" s="44"/>
      <c r="C47" s="44" t="s">
        <v>86</v>
      </c>
      <c r="D47" s="45"/>
      <c r="E47" s="46"/>
      <c r="F47" s="44"/>
      <c r="G47" s="44"/>
      <c r="H47" s="44"/>
      <c r="I47" s="44"/>
      <c r="J47" s="44"/>
      <c r="K47" s="44"/>
      <c r="L47" s="44"/>
    </row>
    <row r="48" spans="1:13" s="47" customFormat="1" ht="6" customHeight="1">
      <c r="A48" s="26"/>
      <c r="B48" s="44"/>
      <c r="C48" s="44"/>
      <c r="D48" s="44"/>
      <c r="E48" s="45"/>
      <c r="F48" s="46"/>
      <c r="G48" s="44"/>
      <c r="H48" s="44"/>
      <c r="I48" s="44"/>
      <c r="J48" s="44"/>
      <c r="K48" s="44"/>
      <c r="L48" s="44"/>
      <c r="M48" s="44"/>
    </row>
    <row r="49" spans="1:12" s="47" customFormat="1" ht="12.75">
      <c r="A49" s="26" t="s">
        <v>31</v>
      </c>
      <c r="B49" s="44"/>
      <c r="C49" s="44" t="s">
        <v>78</v>
      </c>
      <c r="D49" s="45"/>
      <c r="E49" s="46"/>
      <c r="F49" s="44"/>
      <c r="G49" s="44"/>
      <c r="H49" s="44"/>
      <c r="I49" s="44"/>
      <c r="J49" s="44"/>
      <c r="K49" s="44"/>
      <c r="L49" s="44"/>
    </row>
    <row r="50" spans="1:12" s="47" customFormat="1" ht="12.75">
      <c r="A50" s="26"/>
      <c r="B50" s="44"/>
      <c r="C50" s="44" t="s">
        <v>79</v>
      </c>
      <c r="D50" s="45"/>
      <c r="E50" s="46"/>
      <c r="F50" s="44"/>
      <c r="G50" s="44"/>
      <c r="H50" s="44"/>
      <c r="I50" s="44"/>
      <c r="J50" s="44"/>
      <c r="K50" s="44"/>
      <c r="L50" s="44"/>
    </row>
    <row r="51" spans="1:13" s="47" customFormat="1" ht="6" customHeight="1">
      <c r="A51" s="26"/>
      <c r="B51" s="44"/>
      <c r="C51" s="44"/>
      <c r="E51" s="45"/>
      <c r="F51" s="46"/>
      <c r="G51" s="44"/>
      <c r="H51" s="44"/>
      <c r="I51" s="44"/>
      <c r="J51" s="44"/>
      <c r="K51" s="44"/>
      <c r="L51" s="44"/>
      <c r="M51" s="44"/>
    </row>
    <row r="52" spans="1:12" s="47" customFormat="1" ht="12.75">
      <c r="A52" s="26" t="s">
        <v>88</v>
      </c>
      <c r="B52" s="44"/>
      <c r="C52" s="44" t="s">
        <v>80</v>
      </c>
      <c r="D52" s="45"/>
      <c r="E52" s="46"/>
      <c r="F52" s="44"/>
      <c r="G52" s="44"/>
      <c r="H52" s="44"/>
      <c r="I52" s="44"/>
      <c r="J52" s="44"/>
      <c r="K52" s="44"/>
      <c r="L52" s="44"/>
    </row>
    <row r="53" spans="1:12" s="47" customFormat="1" ht="12.75">
      <c r="A53" s="29"/>
      <c r="B53" s="44"/>
      <c r="C53" s="44" t="s">
        <v>81</v>
      </c>
      <c r="D53" s="45"/>
      <c r="E53" s="46"/>
      <c r="F53" s="44"/>
      <c r="G53" s="44"/>
      <c r="H53" s="44"/>
      <c r="I53" s="44"/>
      <c r="J53" s="44"/>
      <c r="K53" s="44"/>
      <c r="L53" s="44"/>
    </row>
    <row r="54" spans="1:13" s="47" customFormat="1" ht="6" customHeight="1">
      <c r="A54" s="30"/>
      <c r="B54" s="52"/>
      <c r="C54" s="52"/>
      <c r="E54" s="52"/>
      <c r="F54" s="53"/>
      <c r="G54" s="52"/>
      <c r="H54" s="52"/>
      <c r="I54" s="52"/>
      <c r="J54" s="52"/>
      <c r="K54" s="52"/>
      <c r="L54" s="52"/>
      <c r="M54" s="52"/>
    </row>
    <row r="55" spans="1:13" s="47" customFormat="1" ht="12.75">
      <c r="A55" s="26" t="s">
        <v>53</v>
      </c>
      <c r="B55" s="44"/>
      <c r="C55" s="44" t="s">
        <v>67</v>
      </c>
      <c r="E55" s="45"/>
      <c r="F55" s="46"/>
      <c r="G55" s="44"/>
      <c r="H55" s="44"/>
      <c r="I55" s="44"/>
      <c r="J55" s="44"/>
      <c r="K55" s="44"/>
      <c r="L55" s="44"/>
      <c r="M55" s="45"/>
    </row>
    <row r="56" spans="1:13" s="47" customFormat="1" ht="12.75">
      <c r="A56" s="29"/>
      <c r="B56" s="44"/>
      <c r="C56" s="44" t="s">
        <v>68</v>
      </c>
      <c r="E56" s="45"/>
      <c r="F56" s="46"/>
      <c r="G56" s="44"/>
      <c r="H56" s="44"/>
      <c r="I56" s="44"/>
      <c r="J56" s="44"/>
      <c r="K56" s="44"/>
      <c r="L56" s="44"/>
      <c r="M56" s="45"/>
    </row>
    <row r="57" spans="1:13" s="47" customFormat="1" ht="12.75">
      <c r="A57" s="29"/>
      <c r="B57" s="44"/>
      <c r="C57" s="44" t="s">
        <v>69</v>
      </c>
      <c r="E57" s="45"/>
      <c r="F57" s="46"/>
      <c r="G57" s="44"/>
      <c r="H57" s="44"/>
      <c r="I57" s="44"/>
      <c r="J57" s="44"/>
      <c r="K57" s="44"/>
      <c r="L57" s="44"/>
      <c r="M57" s="45"/>
    </row>
    <row r="58" spans="1:13" ht="12.75">
      <c r="A58" s="30"/>
      <c r="B58" s="31"/>
      <c r="C58" s="31"/>
      <c r="D58" s="44"/>
      <c r="E58" s="31"/>
      <c r="F58" s="32"/>
      <c r="G58" s="31"/>
      <c r="H58" s="31"/>
      <c r="I58" s="31"/>
      <c r="J58" s="31"/>
      <c r="K58" s="31"/>
      <c r="L58" s="31"/>
      <c r="M58" s="31"/>
    </row>
    <row r="59" spans="1:13" s="24" customFormat="1" ht="12.75">
      <c r="A59" s="144" t="s">
        <v>32</v>
      </c>
      <c r="B59" s="145"/>
      <c r="C59" s="145"/>
      <c r="D59" s="145"/>
      <c r="E59" s="145"/>
      <c r="F59" s="145"/>
      <c r="G59" s="145"/>
      <c r="H59" s="145"/>
      <c r="I59" s="145"/>
      <c r="J59" s="145"/>
      <c r="K59" s="145"/>
      <c r="L59" s="145"/>
      <c r="M59" s="146"/>
    </row>
    <row r="60" ht="12.75">
      <c r="A60" s="25"/>
    </row>
    <row r="61" spans="1:13" ht="13.5">
      <c r="A61" s="33"/>
      <c r="E61" s="10" t="s">
        <v>10</v>
      </c>
      <c r="F61" s="143" t="s">
        <v>90</v>
      </c>
      <c r="G61" s="143"/>
      <c r="H61" s="143"/>
      <c r="I61" s="143"/>
      <c r="J61" s="10" t="s">
        <v>11</v>
      </c>
      <c r="K61" s="10" t="s">
        <v>83</v>
      </c>
      <c r="L61" s="10" t="s">
        <v>51</v>
      </c>
      <c r="M61" s="35"/>
    </row>
    <row r="62" spans="1:13" ht="12.75">
      <c r="A62" s="36"/>
      <c r="E62" s="8" t="s">
        <v>18</v>
      </c>
      <c r="F62" s="8" t="s">
        <v>91</v>
      </c>
      <c r="G62" s="56" t="s">
        <v>92</v>
      </c>
      <c r="H62" s="37"/>
      <c r="I62" s="8" t="s">
        <v>93</v>
      </c>
      <c r="J62" s="8" t="s">
        <v>20</v>
      </c>
      <c r="K62" s="8" t="s">
        <v>84</v>
      </c>
      <c r="L62" s="8" t="s">
        <v>52</v>
      </c>
      <c r="M62" s="35"/>
    </row>
    <row r="63" spans="2:13" ht="12.75">
      <c r="B63" s="40" t="s">
        <v>61</v>
      </c>
      <c r="C63" s="40"/>
      <c r="D63" s="40"/>
      <c r="E63" s="57">
        <v>0.35</v>
      </c>
      <c r="F63" s="57">
        <v>0.31</v>
      </c>
      <c r="G63" s="58">
        <v>0.0875</v>
      </c>
      <c r="H63" s="59"/>
      <c r="I63" s="57">
        <v>0.0125</v>
      </c>
      <c r="J63" s="57">
        <v>0.1</v>
      </c>
      <c r="K63" s="57">
        <v>0.1</v>
      </c>
      <c r="L63" s="57">
        <v>0.04</v>
      </c>
      <c r="M63" s="39"/>
    </row>
    <row r="64" spans="2:13" ht="12.75">
      <c r="B64" s="40" t="s">
        <v>109</v>
      </c>
      <c r="C64" s="40"/>
      <c r="D64" s="40"/>
      <c r="E64" s="57">
        <v>0.39</v>
      </c>
      <c r="F64" s="57">
        <v>0.31</v>
      </c>
      <c r="G64" s="58">
        <v>0.0875</v>
      </c>
      <c r="H64" s="59"/>
      <c r="I64" s="57">
        <v>0.0125</v>
      </c>
      <c r="J64" s="57">
        <v>0.1</v>
      </c>
      <c r="K64" s="57">
        <v>0.1</v>
      </c>
      <c r="L64" s="57">
        <v>0</v>
      </c>
      <c r="M64" s="39"/>
    </row>
    <row r="65" spans="2:13" ht="12.75">
      <c r="B65" s="40"/>
      <c r="C65" s="40"/>
      <c r="D65" s="40"/>
      <c r="E65" s="27"/>
      <c r="F65" s="28"/>
      <c r="G65" s="41"/>
      <c r="H65" s="27"/>
      <c r="I65" s="41"/>
      <c r="J65" s="41"/>
      <c r="K65" s="41"/>
      <c r="L65" s="41"/>
      <c r="M65" s="39"/>
    </row>
    <row r="66" spans="1:13" s="24" customFormat="1" ht="12.75">
      <c r="A66" s="147" t="s">
        <v>46</v>
      </c>
      <c r="B66" s="148"/>
      <c r="C66" s="148"/>
      <c r="D66" s="148"/>
      <c r="E66" s="148"/>
      <c r="F66" s="148"/>
      <c r="G66" s="148"/>
      <c r="H66" s="148"/>
      <c r="I66" s="148"/>
      <c r="J66" s="148"/>
      <c r="K66" s="148"/>
      <c r="L66" s="148"/>
      <c r="M66" s="149"/>
    </row>
    <row r="67" spans="1:6" ht="10.5" customHeight="1">
      <c r="A67" s="25"/>
      <c r="E67"/>
      <c r="F67" s="16"/>
    </row>
    <row r="68" spans="1:13" ht="51.75" customHeight="1">
      <c r="A68" s="150" t="s">
        <v>110</v>
      </c>
      <c r="B68" s="151"/>
      <c r="C68" s="151"/>
      <c r="D68" s="151"/>
      <c r="E68" s="151"/>
      <c r="F68" s="151"/>
      <c r="G68" s="151"/>
      <c r="H68" s="151"/>
      <c r="I68" s="151"/>
      <c r="J68" s="151"/>
      <c r="K68" s="151"/>
      <c r="L68" s="151"/>
      <c r="M68" s="151"/>
    </row>
    <row r="69" spans="1:6" ht="12.75">
      <c r="A69" s="16"/>
      <c r="E69"/>
      <c r="F69" s="16"/>
    </row>
    <row r="70" spans="2:5" ht="12.75">
      <c r="B70" s="25" t="s">
        <v>47</v>
      </c>
      <c r="C70" s="25"/>
      <c r="D70" s="25"/>
      <c r="E70" s="16">
        <v>680176</v>
      </c>
    </row>
    <row r="71" spans="2:5" ht="12.75">
      <c r="B71" s="25" t="s">
        <v>48</v>
      </c>
      <c r="C71" s="25"/>
      <c r="D71" s="25"/>
      <c r="E71" s="16">
        <v>226725</v>
      </c>
    </row>
    <row r="72" spans="2:5" ht="7.5" customHeight="1">
      <c r="B72" s="16" t="s">
        <v>33</v>
      </c>
      <c r="E72" s="16" t="s">
        <v>33</v>
      </c>
    </row>
    <row r="73" ht="12.75">
      <c r="E73" s="16" t="s">
        <v>33</v>
      </c>
    </row>
    <row r="74" ht="12.75">
      <c r="A74" s="29" t="s">
        <v>100</v>
      </c>
    </row>
  </sheetData>
  <sheetProtection/>
  <mergeCells count="12">
    <mergeCell ref="I10:M10"/>
    <mergeCell ref="A31:M31"/>
    <mergeCell ref="A59:M59"/>
    <mergeCell ref="F61:I61"/>
    <mergeCell ref="A66:M66"/>
    <mergeCell ref="A68:M68"/>
    <mergeCell ref="A1:M1"/>
    <mergeCell ref="A2:M2"/>
    <mergeCell ref="A3:M3"/>
    <mergeCell ref="A4:M4"/>
    <mergeCell ref="A5:M5"/>
    <mergeCell ref="A8:M8"/>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69" r:id="rId3"/>
  <drawing r:id="rId2"/>
</worksheet>
</file>

<file path=xl/worksheets/sheet12.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B29" sqref="B29"/>
    </sheetView>
  </sheetViews>
  <sheetFormatPr defaultColWidth="9.140625" defaultRowHeight="12.75"/>
  <cols>
    <col min="1" max="1" width="9.28125" style="3" customWidth="1"/>
    <col min="2" max="2" width="14.140625" style="16" customWidth="1"/>
    <col min="3" max="3" width="13.42187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3" width="13.00390625" style="16" customWidth="1"/>
    <col min="14" max="14" width="12.7109375" style="0" customWidth="1"/>
  </cols>
  <sheetData>
    <row r="1" spans="1:13" ht="18">
      <c r="A1" s="152" t="s">
        <v>71</v>
      </c>
      <c r="B1" s="152"/>
      <c r="C1" s="152"/>
      <c r="D1" s="152"/>
      <c r="E1" s="152"/>
      <c r="F1" s="152"/>
      <c r="G1" s="152"/>
      <c r="H1" s="152"/>
      <c r="I1" s="152"/>
      <c r="J1" s="152"/>
      <c r="K1" s="152"/>
      <c r="L1" s="152"/>
      <c r="M1" s="152"/>
    </row>
    <row r="2" spans="1:13" ht="15">
      <c r="A2" s="153" t="s">
        <v>1</v>
      </c>
      <c r="B2" s="153"/>
      <c r="C2" s="153"/>
      <c r="D2" s="153"/>
      <c r="E2" s="153"/>
      <c r="F2" s="153"/>
      <c r="G2" s="153"/>
      <c r="H2" s="153"/>
      <c r="I2" s="153"/>
      <c r="J2" s="153"/>
      <c r="K2" s="153"/>
      <c r="L2" s="153"/>
      <c r="M2" s="153"/>
    </row>
    <row r="3" spans="1:13" s="1" customFormat="1" ht="15">
      <c r="A3" s="153" t="s">
        <v>2</v>
      </c>
      <c r="B3" s="153"/>
      <c r="C3" s="153"/>
      <c r="D3" s="153"/>
      <c r="E3" s="153"/>
      <c r="F3" s="153"/>
      <c r="G3" s="153"/>
      <c r="H3" s="153"/>
      <c r="I3" s="153"/>
      <c r="J3" s="153"/>
      <c r="K3" s="153"/>
      <c r="L3" s="153"/>
      <c r="M3" s="153"/>
    </row>
    <row r="4" spans="1:13" s="1" customFormat="1" ht="14.25">
      <c r="A4" s="138" t="s">
        <v>3</v>
      </c>
      <c r="B4" s="139"/>
      <c r="C4" s="139"/>
      <c r="D4" s="139"/>
      <c r="E4" s="139"/>
      <c r="F4" s="139"/>
      <c r="G4" s="139"/>
      <c r="H4" s="139"/>
      <c r="I4" s="139"/>
      <c r="J4" s="139"/>
      <c r="K4" s="139"/>
      <c r="L4" s="139"/>
      <c r="M4" s="139"/>
    </row>
    <row r="5" spans="1:13" s="1" customFormat="1" ht="14.25">
      <c r="A5" s="154" t="s">
        <v>4</v>
      </c>
      <c r="B5" s="154"/>
      <c r="C5" s="154"/>
      <c r="D5" s="154"/>
      <c r="E5" s="154"/>
      <c r="F5" s="154"/>
      <c r="G5" s="154"/>
      <c r="H5" s="154"/>
      <c r="I5" s="154"/>
      <c r="J5" s="154"/>
      <c r="K5" s="154"/>
      <c r="L5" s="154"/>
      <c r="M5" s="154"/>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44" t="s">
        <v>95</v>
      </c>
      <c r="B8" s="145"/>
      <c r="C8" s="145"/>
      <c r="D8" s="145"/>
      <c r="E8" s="145"/>
      <c r="F8" s="145"/>
      <c r="G8" s="145"/>
      <c r="H8" s="145"/>
      <c r="I8" s="145"/>
      <c r="J8" s="145"/>
      <c r="K8" s="145"/>
      <c r="L8" s="145"/>
      <c r="M8" s="14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43" t="s">
        <v>6</v>
      </c>
      <c r="J10" s="143"/>
      <c r="K10" s="143"/>
      <c r="L10" s="143"/>
      <c r="M10" s="143"/>
    </row>
    <row r="11" spans="1:13" s="1" customFormat="1" ht="12.75">
      <c r="A11" s="3"/>
      <c r="B11" s="5"/>
      <c r="C11" s="5"/>
      <c r="D11" s="48"/>
      <c r="E11" s="5"/>
      <c r="F11" s="6"/>
      <c r="G11" s="5"/>
      <c r="H11" s="5"/>
      <c r="I11" s="5"/>
      <c r="J11" s="5"/>
      <c r="K11" s="5"/>
      <c r="L11" s="5"/>
      <c r="M11" s="5"/>
    </row>
    <row r="12" spans="1:13" s="12" customFormat="1" ht="12">
      <c r="A12" s="9"/>
      <c r="B12" s="10" t="s">
        <v>7</v>
      </c>
      <c r="C12" s="10" t="s">
        <v>75</v>
      </c>
      <c r="D12" s="10" t="s">
        <v>7</v>
      </c>
      <c r="E12" s="10"/>
      <c r="F12" s="11" t="s">
        <v>8</v>
      </c>
      <c r="G12" s="10" t="s">
        <v>9</v>
      </c>
      <c r="H12" s="10"/>
      <c r="I12" s="10" t="s">
        <v>10</v>
      </c>
      <c r="J12" s="10" t="s">
        <v>82</v>
      </c>
      <c r="K12" s="10" t="s">
        <v>11</v>
      </c>
      <c r="L12" s="10" t="s">
        <v>83</v>
      </c>
      <c r="M12" s="10" t="s">
        <v>51</v>
      </c>
    </row>
    <row r="13" spans="1:13" s="12" customFormat="1" ht="12">
      <c r="A13" s="13" t="s">
        <v>12</v>
      </c>
      <c r="B13" s="8" t="s">
        <v>13</v>
      </c>
      <c r="C13" s="8" t="s">
        <v>20</v>
      </c>
      <c r="D13" s="8" t="s">
        <v>14</v>
      </c>
      <c r="E13" s="8" t="s">
        <v>15</v>
      </c>
      <c r="F13" s="14" t="s">
        <v>16</v>
      </c>
      <c r="G13" s="8" t="s">
        <v>17</v>
      </c>
      <c r="H13" s="15"/>
      <c r="I13" s="8" t="s">
        <v>18</v>
      </c>
      <c r="J13" s="8" t="s">
        <v>19</v>
      </c>
      <c r="K13" s="8" t="s">
        <v>20</v>
      </c>
      <c r="L13" s="8" t="s">
        <v>84</v>
      </c>
      <c r="M13" s="8" t="s">
        <v>52</v>
      </c>
    </row>
    <row r="14" ht="12.75">
      <c r="D14" s="45"/>
    </row>
    <row r="15" spans="1:13" ht="12.75">
      <c r="A15" s="43">
        <v>41000</v>
      </c>
      <c r="B15" s="16">
        <v>85519451.15</v>
      </c>
      <c r="C15" s="16">
        <f>512237.12-123755</f>
        <v>388482.12</v>
      </c>
      <c r="D15" s="45">
        <f aca="true" t="shared" si="0" ref="D15:D26">+B15-C15-E15</f>
        <v>78102149.67</v>
      </c>
      <c r="E15" s="16">
        <v>7028819.36</v>
      </c>
      <c r="F15" s="17">
        <v>940</v>
      </c>
      <c r="G15" s="16">
        <f>E15/F15/30</f>
        <v>249.24891347517732</v>
      </c>
      <c r="I15" s="16">
        <v>2460086.81</v>
      </c>
      <c r="J15" s="16">
        <v>2881815.91</v>
      </c>
      <c r="K15" s="16">
        <v>702881.91</v>
      </c>
      <c r="L15" s="16">
        <v>702881.91</v>
      </c>
      <c r="M15" s="16">
        <v>281152.78</v>
      </c>
    </row>
    <row r="16" spans="1:13" ht="12.75">
      <c r="A16" s="43">
        <v>41030</v>
      </c>
      <c r="B16" s="16">
        <v>85595950.51</v>
      </c>
      <c r="C16" s="16">
        <f>691487.84-20528.37</f>
        <v>670959.47</v>
      </c>
      <c r="D16" s="45">
        <f t="shared" si="0"/>
        <v>78141482.32000001</v>
      </c>
      <c r="E16" s="16">
        <v>6783508.72</v>
      </c>
      <c r="F16" s="17">
        <v>940</v>
      </c>
      <c r="G16" s="16">
        <f>E16/F16/31</f>
        <v>232.79027865477008</v>
      </c>
      <c r="I16" s="16">
        <v>2374228.08</v>
      </c>
      <c r="J16" s="16">
        <v>2781238.57</v>
      </c>
      <c r="K16" s="16">
        <v>678350.88</v>
      </c>
      <c r="L16" s="16">
        <v>678350.88</v>
      </c>
      <c r="M16" s="16">
        <v>271340.34</v>
      </c>
    </row>
    <row r="17" spans="1:13" ht="12.75">
      <c r="A17" s="43">
        <v>41061</v>
      </c>
      <c r="B17" s="16">
        <v>86342366.31</v>
      </c>
      <c r="C17" s="16">
        <f>507443.61-17596.69</f>
        <v>489846.92</v>
      </c>
      <c r="D17" s="45">
        <f t="shared" si="0"/>
        <v>78660042.18</v>
      </c>
      <c r="E17" s="16">
        <v>7192477.21</v>
      </c>
      <c r="F17" s="17">
        <v>940</v>
      </c>
      <c r="G17" s="16">
        <f>E17/F17/30</f>
        <v>255.05238333333332</v>
      </c>
      <c r="I17" s="16">
        <v>2517367.03</v>
      </c>
      <c r="J17" s="16">
        <v>2948915.64</v>
      </c>
      <c r="K17" s="16">
        <v>719247.76</v>
      </c>
      <c r="L17" s="16">
        <v>719247.76</v>
      </c>
      <c r="M17" s="16">
        <v>287699.08</v>
      </c>
    </row>
    <row r="18" spans="1:13" ht="12.75">
      <c r="A18" s="43">
        <v>41091</v>
      </c>
      <c r="B18" s="16">
        <v>87109658.51</v>
      </c>
      <c r="C18" s="16">
        <v>444406.49</v>
      </c>
      <c r="D18" s="45">
        <f t="shared" si="0"/>
        <v>79427237.68</v>
      </c>
      <c r="E18" s="16">
        <v>7238014.34</v>
      </c>
      <c r="F18" s="17">
        <v>940</v>
      </c>
      <c r="G18" s="16">
        <f>E18/F18/31</f>
        <v>248.38758888126287</v>
      </c>
      <c r="I18" s="16">
        <v>2533305.2</v>
      </c>
      <c r="J18" s="16">
        <v>2967585.6</v>
      </c>
      <c r="K18" s="16">
        <v>723801.46</v>
      </c>
      <c r="L18" s="16">
        <v>723801.46</v>
      </c>
      <c r="M18" s="16">
        <v>289520.56</v>
      </c>
    </row>
    <row r="19" spans="1:13" ht="12.75">
      <c r="A19" s="43">
        <v>41122</v>
      </c>
      <c r="B19" s="16">
        <v>75812279.18</v>
      </c>
      <c r="C19" s="16">
        <v>441207.57</v>
      </c>
      <c r="D19" s="45">
        <f t="shared" si="0"/>
        <v>69210928.61000001</v>
      </c>
      <c r="E19" s="16">
        <v>6160143</v>
      </c>
      <c r="F19" s="17">
        <v>940</v>
      </c>
      <c r="G19" s="16">
        <f>E19/F19/31</f>
        <v>211.39818119423472</v>
      </c>
      <c r="I19" s="16">
        <v>2156050.09</v>
      </c>
      <c r="J19" s="16">
        <v>2525658.64</v>
      </c>
      <c r="K19" s="16">
        <v>616014.34</v>
      </c>
      <c r="L19" s="16">
        <v>616014.34</v>
      </c>
      <c r="M19" s="16">
        <v>246405.72</v>
      </c>
    </row>
    <row r="20" spans="1:13" ht="12.75">
      <c r="A20" s="43">
        <v>41153</v>
      </c>
      <c r="B20" s="16">
        <v>84175928.75</v>
      </c>
      <c r="C20" s="16">
        <f>619547.08-87093.71</f>
        <v>532453.37</v>
      </c>
      <c r="D20" s="45">
        <f t="shared" si="0"/>
        <v>76763455.00999999</v>
      </c>
      <c r="E20" s="16">
        <v>6880020.37</v>
      </c>
      <c r="F20" s="17">
        <v>940</v>
      </c>
      <c r="G20" s="16">
        <f>E20/F20/30</f>
        <v>243.9723535460993</v>
      </c>
      <c r="I20" s="16">
        <v>2408007.14</v>
      </c>
      <c r="J20" s="16">
        <v>2820808.32</v>
      </c>
      <c r="K20" s="16">
        <v>688002.04</v>
      </c>
      <c r="L20" s="16">
        <v>688002.04</v>
      </c>
      <c r="M20" s="16">
        <v>275200.81</v>
      </c>
    </row>
    <row r="21" spans="1:13" ht="12.75">
      <c r="A21" s="43">
        <v>41183</v>
      </c>
      <c r="B21" s="16">
        <v>81339770.82</v>
      </c>
      <c r="C21" s="16">
        <f>585966.36-25115.95</f>
        <v>560850.41</v>
      </c>
      <c r="D21" s="45">
        <f t="shared" si="0"/>
        <v>74162671.89999999</v>
      </c>
      <c r="E21" s="16">
        <v>6616248.51</v>
      </c>
      <c r="F21" s="17">
        <v>940</v>
      </c>
      <c r="G21" s="16">
        <f>E21/F21/31</f>
        <v>227.05039498970487</v>
      </c>
      <c r="I21" s="16">
        <v>2315686.98</v>
      </c>
      <c r="J21" s="16">
        <v>2712661.87</v>
      </c>
      <c r="K21" s="16">
        <v>661624.87</v>
      </c>
      <c r="L21" s="16">
        <v>661624.87</v>
      </c>
      <c r="M21" s="16">
        <v>264649.91</v>
      </c>
    </row>
    <row r="22" spans="1:13" ht="12.75">
      <c r="A22" s="43">
        <v>41214</v>
      </c>
      <c r="B22" s="16">
        <v>80880732.99</v>
      </c>
      <c r="C22" s="16">
        <f>576432.98-28551.3</f>
        <v>547881.6799999999</v>
      </c>
      <c r="D22" s="45">
        <f t="shared" si="0"/>
        <v>73691458.88</v>
      </c>
      <c r="E22" s="16">
        <v>6641392.43</v>
      </c>
      <c r="F22" s="17">
        <v>940</v>
      </c>
      <c r="G22" s="16">
        <f>E22/F22/30</f>
        <v>235.51036985815603</v>
      </c>
      <c r="I22" s="16">
        <v>2324487.37</v>
      </c>
      <c r="J22" s="16">
        <v>2722970.88</v>
      </c>
      <c r="K22" s="16">
        <v>664139.27</v>
      </c>
      <c r="L22" s="16">
        <v>664139.27</v>
      </c>
      <c r="M22" s="16">
        <v>265655.72</v>
      </c>
    </row>
    <row r="23" spans="1:13" ht="12.75">
      <c r="A23" s="43">
        <v>41244</v>
      </c>
      <c r="B23" s="16">
        <v>79959817.79</v>
      </c>
      <c r="C23" s="16">
        <f>734906.16-18259.13</f>
        <v>716647.03</v>
      </c>
      <c r="D23" s="45">
        <f t="shared" si="0"/>
        <v>72800428.85000001</v>
      </c>
      <c r="E23" s="16">
        <v>6442741.91</v>
      </c>
      <c r="F23" s="17">
        <v>940</v>
      </c>
      <c r="G23" s="16">
        <f>E23/F23/31</f>
        <v>221.09615339739193</v>
      </c>
      <c r="I23" s="16">
        <v>2254959.67</v>
      </c>
      <c r="J23" s="16">
        <v>2641524.17</v>
      </c>
      <c r="K23" s="16">
        <v>644274.2</v>
      </c>
      <c r="L23" s="16">
        <v>644274.2</v>
      </c>
      <c r="M23" s="16">
        <v>257709.7</v>
      </c>
    </row>
    <row r="24" spans="1:13" ht="12.75">
      <c r="A24" s="43">
        <v>41275</v>
      </c>
      <c r="B24" s="16">
        <v>78793318.23</v>
      </c>
      <c r="C24" s="16">
        <f>580697.86-156526.8</f>
        <v>424171.06</v>
      </c>
      <c r="D24" s="45">
        <f t="shared" si="0"/>
        <v>71875005.97</v>
      </c>
      <c r="E24" s="16">
        <v>6494141.2</v>
      </c>
      <c r="F24" s="17">
        <v>940</v>
      </c>
      <c r="G24" s="16">
        <f>E24/F24/31</f>
        <v>222.86002745367193</v>
      </c>
      <c r="I24" s="16">
        <v>2472049.7</v>
      </c>
      <c r="J24" s="16">
        <v>2662597.87</v>
      </c>
      <c r="K24" s="16">
        <v>649414.11</v>
      </c>
      <c r="L24" s="16">
        <v>649414.11</v>
      </c>
      <c r="M24" s="16">
        <v>60665.38</v>
      </c>
    </row>
    <row r="25" spans="1:13" ht="12.75">
      <c r="A25" s="43">
        <v>41306</v>
      </c>
      <c r="B25" s="16">
        <v>81437092.04</v>
      </c>
      <c r="C25" s="16">
        <v>778404.04</v>
      </c>
      <c r="D25" s="45">
        <f t="shared" si="0"/>
        <v>74291171.39</v>
      </c>
      <c r="E25" s="16">
        <v>6367516.61</v>
      </c>
      <c r="F25" s="17">
        <v>940</v>
      </c>
      <c r="G25" s="16">
        <f>E25/F25/28</f>
        <v>241.92692287234044</v>
      </c>
      <c r="I25" s="16">
        <v>2483331.48</v>
      </c>
      <c r="J25" s="16">
        <v>2610681.81</v>
      </c>
      <c r="K25" s="16">
        <v>636751.68</v>
      </c>
      <c r="L25" s="16">
        <v>636751.68</v>
      </c>
      <c r="M25" s="16">
        <v>0</v>
      </c>
    </row>
    <row r="26" spans="1:13" ht="12.75">
      <c r="A26" s="43">
        <v>41334</v>
      </c>
      <c r="B26" s="16">
        <v>97719469.26</v>
      </c>
      <c r="C26" s="16">
        <f>949724.86-28512.1</f>
        <v>921212.76</v>
      </c>
      <c r="D26" s="45">
        <f t="shared" si="0"/>
        <v>88996476.76</v>
      </c>
      <c r="E26" s="16">
        <v>7801779.74</v>
      </c>
      <c r="F26" s="17">
        <v>940</v>
      </c>
      <c r="G26" s="16">
        <f>E26/F26/31</f>
        <v>267.7343768016472</v>
      </c>
      <c r="I26" s="16">
        <v>3042694.1</v>
      </c>
      <c r="J26" s="16">
        <v>3198729.67</v>
      </c>
      <c r="K26" s="16">
        <v>780177.97</v>
      </c>
      <c r="L26" s="16">
        <v>780177.97</v>
      </c>
      <c r="M26" s="16">
        <v>0</v>
      </c>
    </row>
    <row r="27" spans="1:13" ht="13.5" thickBot="1">
      <c r="A27" s="3" t="s">
        <v>21</v>
      </c>
      <c r="B27" s="19">
        <f>SUM(B15:B26)</f>
        <v>1004685835.54</v>
      </c>
      <c r="C27" s="19">
        <f>SUM(C15:C26)</f>
        <v>6916522.92</v>
      </c>
      <c r="D27" s="49">
        <f>SUM(D15:D26)</f>
        <v>916122509.22</v>
      </c>
      <c r="E27" s="19">
        <f>SUM(E15:E26)</f>
        <v>81646803.39999999</v>
      </c>
      <c r="I27" s="19">
        <f>SUM(I15:I26)</f>
        <v>29342253.650000006</v>
      </c>
      <c r="J27" s="19">
        <f>SUM(J15:J26)</f>
        <v>33475188.950000003</v>
      </c>
      <c r="K27" s="19">
        <f>SUM(K15:K26)</f>
        <v>8164680.489999999</v>
      </c>
      <c r="L27" s="19">
        <f>SUM(L15:L26)</f>
        <v>8164680.489999999</v>
      </c>
      <c r="M27" s="19">
        <f>SUM(M15:M26)</f>
        <v>2500000</v>
      </c>
    </row>
    <row r="28" spans="2:13" ht="10.5" customHeight="1" thickTop="1">
      <c r="B28" s="20"/>
      <c r="C28" s="20"/>
      <c r="D28" s="18"/>
      <c r="E28" s="20"/>
      <c r="I28" s="20"/>
      <c r="J28" s="20"/>
      <c r="K28" s="20"/>
      <c r="L28" s="20"/>
      <c r="M28" s="20"/>
    </row>
    <row r="29" spans="1:13" s="23" customFormat="1" ht="12.75">
      <c r="A29" s="21"/>
      <c r="B29" s="22"/>
      <c r="C29" s="50">
        <f>C27/B27</f>
        <v>0.006884264389258058</v>
      </c>
      <c r="D29" s="50">
        <f>D27/B27</f>
        <v>0.9118497313417395</v>
      </c>
      <c r="E29" s="22">
        <f>E27/B27</f>
        <v>0.0812660042690025</v>
      </c>
      <c r="I29" s="22">
        <f>I27/$E$27</f>
        <v>0.3593803116363036</v>
      </c>
      <c r="J29" s="22">
        <f>J27/$E$27</f>
        <v>0.40999999456194275</v>
      </c>
      <c r="K29" s="22">
        <f>K27/$E$27</f>
        <v>0.10000000183718154</v>
      </c>
      <c r="L29" s="22">
        <f>L27/$E$27</f>
        <v>0.10000000183718154</v>
      </c>
      <c r="M29" s="22">
        <f>M27/$E$27</f>
        <v>0.03061969233200868</v>
      </c>
    </row>
    <row r="31" spans="1:13" s="24" customFormat="1" ht="12.75">
      <c r="A31" s="144" t="s">
        <v>22</v>
      </c>
      <c r="B31" s="145"/>
      <c r="C31" s="145"/>
      <c r="D31" s="145"/>
      <c r="E31" s="145"/>
      <c r="F31" s="145"/>
      <c r="G31" s="145"/>
      <c r="H31" s="145"/>
      <c r="I31" s="145"/>
      <c r="J31" s="145"/>
      <c r="K31" s="145"/>
      <c r="L31" s="145"/>
      <c r="M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3" s="47" customFormat="1" ht="6" customHeight="1">
      <c r="A35" s="26"/>
      <c r="B35" s="44"/>
      <c r="C35" s="27"/>
      <c r="E35" s="51"/>
      <c r="F35" s="51"/>
      <c r="G35" s="51"/>
      <c r="H35" s="51"/>
      <c r="I35" s="51"/>
      <c r="J35" s="51"/>
      <c r="K35" s="51"/>
      <c r="L35" s="51"/>
      <c r="M35" s="51"/>
    </row>
    <row r="36" spans="1:13" s="47" customFormat="1" ht="12.75">
      <c r="A36" s="26" t="s">
        <v>99</v>
      </c>
      <c r="B36" s="44"/>
      <c r="C36" s="27" t="s">
        <v>89</v>
      </c>
      <c r="D36" s="45"/>
      <c r="E36" s="45"/>
      <c r="F36" s="27"/>
      <c r="G36" s="27"/>
      <c r="H36" s="27"/>
      <c r="I36" s="27"/>
      <c r="J36" s="44"/>
      <c r="K36" s="44"/>
      <c r="L36" s="44"/>
      <c r="M36" s="44"/>
    </row>
    <row r="37" spans="1:13" s="47" customFormat="1" ht="6" customHeight="1">
      <c r="A37" s="26"/>
      <c r="B37" s="44"/>
      <c r="C37" s="27"/>
      <c r="E37" s="45"/>
      <c r="F37" s="27"/>
      <c r="G37" s="27"/>
      <c r="H37" s="27"/>
      <c r="I37" s="27"/>
      <c r="J37" s="44"/>
      <c r="K37" s="44"/>
      <c r="L37" s="44"/>
      <c r="M37" s="44"/>
    </row>
    <row r="38" spans="1:13" s="47" customFormat="1" ht="12.75">
      <c r="A38" s="26" t="s">
        <v>24</v>
      </c>
      <c r="B38" s="44"/>
      <c r="C38" s="27" t="s">
        <v>25</v>
      </c>
      <c r="E38" s="45"/>
      <c r="F38" s="27"/>
      <c r="G38" s="27"/>
      <c r="H38" s="27"/>
      <c r="I38" s="27"/>
      <c r="J38" s="44"/>
      <c r="K38" s="44"/>
      <c r="L38" s="44"/>
      <c r="M38" s="44"/>
    </row>
    <row r="39" spans="1:13" s="47" customFormat="1" ht="6" customHeight="1">
      <c r="A39" s="26"/>
      <c r="B39" s="44"/>
      <c r="C39" s="27"/>
      <c r="E39" s="45"/>
      <c r="F39" s="27"/>
      <c r="G39" s="27"/>
      <c r="H39" s="27"/>
      <c r="I39" s="27"/>
      <c r="J39" s="44"/>
      <c r="K39" s="44"/>
      <c r="L39" s="44"/>
      <c r="M39" s="44"/>
    </row>
    <row r="40" spans="1:13" s="47" customFormat="1" ht="12.75">
      <c r="A40" s="26" t="s">
        <v>26</v>
      </c>
      <c r="B40" s="44"/>
      <c r="C40" s="44" t="s">
        <v>65</v>
      </c>
      <c r="E40" s="45"/>
      <c r="F40" s="46"/>
      <c r="G40" s="44"/>
      <c r="H40" s="44"/>
      <c r="I40" s="44"/>
      <c r="J40" s="44"/>
      <c r="K40" s="44"/>
      <c r="L40" s="44"/>
      <c r="M40" s="44"/>
    </row>
    <row r="41" spans="1:13" s="47" customFormat="1" ht="12.75">
      <c r="A41" s="26"/>
      <c r="B41" s="44"/>
      <c r="C41" s="44" t="s">
        <v>66</v>
      </c>
      <c r="E41" s="45"/>
      <c r="F41" s="46"/>
      <c r="G41" s="44"/>
      <c r="H41" s="44"/>
      <c r="I41" s="44"/>
      <c r="J41" s="44"/>
      <c r="K41" s="44"/>
      <c r="L41" s="44"/>
      <c r="M41" s="44"/>
    </row>
    <row r="42" spans="1:13" s="47" customFormat="1" ht="6" customHeight="1">
      <c r="A42" s="26"/>
      <c r="B42" s="44"/>
      <c r="C42" s="44"/>
      <c r="E42" s="45"/>
      <c r="F42" s="46"/>
      <c r="G42" s="44"/>
      <c r="H42" s="44"/>
      <c r="I42" s="44"/>
      <c r="J42" s="44"/>
      <c r="K42" s="44"/>
      <c r="L42" s="44"/>
      <c r="M42" s="44"/>
    </row>
    <row r="43" spans="1:13" s="47" customFormat="1" ht="12.75">
      <c r="A43" s="26" t="s">
        <v>29</v>
      </c>
      <c r="B43" s="44"/>
      <c r="C43" s="44" t="s">
        <v>30</v>
      </c>
      <c r="E43" s="45"/>
      <c r="F43" s="46"/>
      <c r="G43" s="44"/>
      <c r="H43" s="44"/>
      <c r="I43" s="44"/>
      <c r="J43" s="44"/>
      <c r="K43" s="44"/>
      <c r="L43" s="44"/>
      <c r="M43" s="44"/>
    </row>
    <row r="44" spans="1:13" s="47" customFormat="1" ht="6" customHeight="1">
      <c r="A44" s="26"/>
      <c r="B44" s="44"/>
      <c r="C44" s="44"/>
      <c r="D44" s="44"/>
      <c r="E44" s="45"/>
      <c r="F44" s="46"/>
      <c r="G44" s="44"/>
      <c r="H44" s="44"/>
      <c r="I44" s="44"/>
      <c r="J44" s="44"/>
      <c r="K44" s="44"/>
      <c r="L44" s="44"/>
      <c r="M44" s="44"/>
    </row>
    <row r="45" spans="1:12" s="47" customFormat="1" ht="12.75">
      <c r="A45" s="26" t="s">
        <v>76</v>
      </c>
      <c r="B45" s="44"/>
      <c r="C45" s="44" t="s">
        <v>77</v>
      </c>
      <c r="D45" s="45"/>
      <c r="E45" s="46"/>
      <c r="F45" s="44"/>
      <c r="G45" s="44"/>
      <c r="H45" s="44"/>
      <c r="I45" s="44"/>
      <c r="J45" s="44"/>
      <c r="K45" s="44"/>
      <c r="L45" s="44"/>
    </row>
    <row r="46" spans="1:12" s="47" customFormat="1" ht="12.75">
      <c r="A46" s="26"/>
      <c r="B46" s="44"/>
      <c r="C46" s="44" t="s">
        <v>85</v>
      </c>
      <c r="D46" s="45"/>
      <c r="E46" s="46"/>
      <c r="F46" s="44"/>
      <c r="G46" s="44"/>
      <c r="H46" s="44"/>
      <c r="I46" s="44"/>
      <c r="J46" s="44"/>
      <c r="K46" s="44"/>
      <c r="L46" s="44"/>
    </row>
    <row r="47" spans="1:12" s="47" customFormat="1" ht="12.75">
      <c r="A47" s="26"/>
      <c r="B47" s="44"/>
      <c r="C47" s="44" t="s">
        <v>86</v>
      </c>
      <c r="D47" s="45"/>
      <c r="E47" s="46"/>
      <c r="F47" s="44"/>
      <c r="G47" s="44"/>
      <c r="H47" s="44"/>
      <c r="I47" s="44"/>
      <c r="J47" s="44"/>
      <c r="K47" s="44"/>
      <c r="L47" s="44"/>
    </row>
    <row r="48" spans="1:13" s="47" customFormat="1" ht="6" customHeight="1">
      <c r="A48" s="26"/>
      <c r="B48" s="44"/>
      <c r="C48" s="44"/>
      <c r="D48" s="44"/>
      <c r="E48" s="45"/>
      <c r="F48" s="46"/>
      <c r="G48" s="44"/>
      <c r="H48" s="44"/>
      <c r="I48" s="44"/>
      <c r="J48" s="44"/>
      <c r="K48" s="44"/>
      <c r="L48" s="44"/>
      <c r="M48" s="44"/>
    </row>
    <row r="49" spans="1:12" s="47" customFormat="1" ht="12.75">
      <c r="A49" s="26" t="s">
        <v>31</v>
      </c>
      <c r="B49" s="44"/>
      <c r="C49" s="44" t="s">
        <v>78</v>
      </c>
      <c r="D49" s="45"/>
      <c r="E49" s="46"/>
      <c r="F49" s="44"/>
      <c r="G49" s="44"/>
      <c r="H49" s="44"/>
      <c r="I49" s="44"/>
      <c r="J49" s="44"/>
      <c r="K49" s="44"/>
      <c r="L49" s="44"/>
    </row>
    <row r="50" spans="1:12" s="47" customFormat="1" ht="12.75">
      <c r="A50" s="26"/>
      <c r="B50" s="44"/>
      <c r="C50" s="44" t="s">
        <v>79</v>
      </c>
      <c r="D50" s="45"/>
      <c r="E50" s="46"/>
      <c r="F50" s="44"/>
      <c r="G50" s="44"/>
      <c r="H50" s="44"/>
      <c r="I50" s="44"/>
      <c r="J50" s="44"/>
      <c r="K50" s="44"/>
      <c r="L50" s="44"/>
    </row>
    <row r="51" spans="1:13" s="47" customFormat="1" ht="6" customHeight="1">
      <c r="A51" s="26"/>
      <c r="B51" s="44"/>
      <c r="C51" s="44"/>
      <c r="E51" s="45"/>
      <c r="F51" s="46"/>
      <c r="G51" s="44"/>
      <c r="H51" s="44"/>
      <c r="I51" s="44"/>
      <c r="J51" s="44"/>
      <c r="K51" s="44"/>
      <c r="L51" s="44"/>
      <c r="M51" s="44"/>
    </row>
    <row r="52" spans="1:12" s="47" customFormat="1" ht="12.75">
      <c r="A52" s="26" t="s">
        <v>88</v>
      </c>
      <c r="B52" s="44"/>
      <c r="C52" s="44" t="s">
        <v>80</v>
      </c>
      <c r="D52" s="45"/>
      <c r="E52" s="46"/>
      <c r="F52" s="44"/>
      <c r="G52" s="44"/>
      <c r="H52" s="44"/>
      <c r="I52" s="44"/>
      <c r="J52" s="44"/>
      <c r="K52" s="44"/>
      <c r="L52" s="44"/>
    </row>
    <row r="53" spans="1:12" s="47" customFormat="1" ht="12.75">
      <c r="A53" s="29"/>
      <c r="B53" s="44"/>
      <c r="C53" s="44" t="s">
        <v>81</v>
      </c>
      <c r="D53" s="45"/>
      <c r="E53" s="46"/>
      <c r="F53" s="44"/>
      <c r="G53" s="44"/>
      <c r="H53" s="44"/>
      <c r="I53" s="44"/>
      <c r="J53" s="44"/>
      <c r="K53" s="44"/>
      <c r="L53" s="44"/>
    </row>
    <row r="54" spans="1:13" s="47" customFormat="1" ht="6" customHeight="1">
      <c r="A54" s="30"/>
      <c r="B54" s="52"/>
      <c r="C54" s="52"/>
      <c r="E54" s="52"/>
      <c r="F54" s="53"/>
      <c r="G54" s="52"/>
      <c r="H54" s="52"/>
      <c r="I54" s="52"/>
      <c r="J54" s="52"/>
      <c r="K54" s="52"/>
      <c r="L54" s="52"/>
      <c r="M54" s="52"/>
    </row>
    <row r="55" spans="1:13" s="47" customFormat="1" ht="12.75">
      <c r="A55" s="26" t="s">
        <v>53</v>
      </c>
      <c r="B55" s="44"/>
      <c r="C55" s="44" t="s">
        <v>67</v>
      </c>
      <c r="E55" s="45"/>
      <c r="F55" s="46"/>
      <c r="G55" s="44"/>
      <c r="H55" s="44"/>
      <c r="I55" s="44"/>
      <c r="J55" s="44"/>
      <c r="K55" s="44"/>
      <c r="L55" s="44"/>
      <c r="M55" s="45"/>
    </row>
    <row r="56" spans="1:13" s="47" customFormat="1" ht="12.75">
      <c r="A56" s="29"/>
      <c r="B56" s="44"/>
      <c r="C56" s="44" t="s">
        <v>68</v>
      </c>
      <c r="E56" s="45"/>
      <c r="F56" s="46"/>
      <c r="G56" s="44"/>
      <c r="H56" s="44"/>
      <c r="I56" s="44"/>
      <c r="J56" s="44"/>
      <c r="K56" s="44"/>
      <c r="L56" s="44"/>
      <c r="M56" s="45"/>
    </row>
    <row r="57" spans="1:13" s="47" customFormat="1" ht="12.75">
      <c r="A57" s="29"/>
      <c r="B57" s="44"/>
      <c r="C57" s="44" t="s">
        <v>69</v>
      </c>
      <c r="E57" s="45"/>
      <c r="F57" s="46"/>
      <c r="G57" s="44"/>
      <c r="H57" s="44"/>
      <c r="I57" s="44"/>
      <c r="J57" s="44"/>
      <c r="K57" s="44"/>
      <c r="L57" s="44"/>
      <c r="M57" s="45"/>
    </row>
    <row r="58" spans="1:13" ht="12.75">
      <c r="A58" s="30"/>
      <c r="B58" s="31"/>
      <c r="C58" s="31"/>
      <c r="D58" s="44"/>
      <c r="E58" s="31"/>
      <c r="F58" s="32"/>
      <c r="G58" s="31"/>
      <c r="H58" s="31"/>
      <c r="I58" s="31"/>
      <c r="J58" s="31"/>
      <c r="K58" s="31"/>
      <c r="L58" s="31"/>
      <c r="M58" s="31"/>
    </row>
    <row r="59" spans="1:13" s="24" customFormat="1" ht="12.75">
      <c r="A59" s="144" t="s">
        <v>32</v>
      </c>
      <c r="B59" s="145"/>
      <c r="C59" s="145"/>
      <c r="D59" s="145"/>
      <c r="E59" s="145"/>
      <c r="F59" s="145"/>
      <c r="G59" s="145"/>
      <c r="H59" s="145"/>
      <c r="I59" s="145"/>
      <c r="J59" s="145"/>
      <c r="K59" s="145"/>
      <c r="L59" s="145"/>
      <c r="M59" s="146"/>
    </row>
    <row r="60" ht="12.75">
      <c r="A60" s="25"/>
    </row>
    <row r="61" spans="1:13" ht="13.5">
      <c r="A61" s="33"/>
      <c r="E61" s="10" t="s">
        <v>10</v>
      </c>
      <c r="F61" s="143" t="s">
        <v>90</v>
      </c>
      <c r="G61" s="143"/>
      <c r="H61" s="143"/>
      <c r="I61" s="143"/>
      <c r="J61" s="10" t="s">
        <v>11</v>
      </c>
      <c r="K61" s="10" t="s">
        <v>83</v>
      </c>
      <c r="L61" s="10" t="s">
        <v>51</v>
      </c>
      <c r="M61" s="35"/>
    </row>
    <row r="62" spans="1:13" ht="12.75">
      <c r="A62" s="36"/>
      <c r="E62" s="8" t="s">
        <v>18</v>
      </c>
      <c r="F62" s="8" t="s">
        <v>91</v>
      </c>
      <c r="G62" s="56" t="s">
        <v>92</v>
      </c>
      <c r="H62" s="37"/>
      <c r="I62" s="8" t="s">
        <v>93</v>
      </c>
      <c r="J62" s="8" t="s">
        <v>20</v>
      </c>
      <c r="K62" s="8" t="s">
        <v>84</v>
      </c>
      <c r="L62" s="8" t="s">
        <v>52</v>
      </c>
      <c r="M62" s="35"/>
    </row>
    <row r="63" spans="2:13" ht="12.75">
      <c r="B63" s="40" t="s">
        <v>61</v>
      </c>
      <c r="C63" s="40"/>
      <c r="D63" s="40"/>
      <c r="E63" s="57">
        <v>0.35</v>
      </c>
      <c r="F63" s="57">
        <v>0.31</v>
      </c>
      <c r="G63" s="58">
        <v>0.0875</v>
      </c>
      <c r="H63" s="59"/>
      <c r="I63" s="57">
        <v>0.0125</v>
      </c>
      <c r="J63" s="57">
        <v>0.1</v>
      </c>
      <c r="K63" s="57">
        <v>0.1</v>
      </c>
      <c r="L63" s="57">
        <v>0.04</v>
      </c>
      <c r="M63" s="39"/>
    </row>
    <row r="64" spans="2:13" ht="12.75">
      <c r="B64" s="40" t="s">
        <v>62</v>
      </c>
      <c r="C64" s="40"/>
      <c r="D64" s="40"/>
      <c r="E64" s="57">
        <v>0.39</v>
      </c>
      <c r="F64" s="57">
        <v>0.31</v>
      </c>
      <c r="G64" s="58">
        <v>0.0875</v>
      </c>
      <c r="H64" s="59"/>
      <c r="I64" s="57">
        <v>0.0125</v>
      </c>
      <c r="J64" s="57">
        <v>0.1</v>
      </c>
      <c r="K64" s="57">
        <v>0.1</v>
      </c>
      <c r="L64" s="57">
        <v>0</v>
      </c>
      <c r="M64" s="39"/>
    </row>
    <row r="65" spans="2:13" ht="12.75">
      <c r="B65" s="40" t="s">
        <v>59</v>
      </c>
      <c r="C65" s="40"/>
      <c r="D65" s="40"/>
      <c r="E65" s="57">
        <v>0.41</v>
      </c>
      <c r="F65" s="57">
        <v>0.31</v>
      </c>
      <c r="G65" s="58">
        <v>0.0875</v>
      </c>
      <c r="H65" s="59"/>
      <c r="I65" s="57">
        <v>0.0125</v>
      </c>
      <c r="J65" s="57">
        <v>0.08</v>
      </c>
      <c r="K65" s="57">
        <v>0.1</v>
      </c>
      <c r="L65" s="57">
        <v>0</v>
      </c>
      <c r="M65" s="39"/>
    </row>
    <row r="66" spans="2:13" ht="12.75">
      <c r="B66" s="40"/>
      <c r="C66" s="40"/>
      <c r="D66" s="40"/>
      <c r="E66" s="27"/>
      <c r="F66" s="28"/>
      <c r="G66" s="41"/>
      <c r="H66" s="27"/>
      <c r="I66" s="41"/>
      <c r="J66" s="41"/>
      <c r="K66" s="41"/>
      <c r="L66" s="41"/>
      <c r="M66" s="39"/>
    </row>
    <row r="67" spans="1:13" s="24" customFormat="1" ht="12.75">
      <c r="A67" s="147" t="s">
        <v>46</v>
      </c>
      <c r="B67" s="148"/>
      <c r="C67" s="148"/>
      <c r="D67" s="148"/>
      <c r="E67" s="148"/>
      <c r="F67" s="148"/>
      <c r="G67" s="148"/>
      <c r="H67" s="148"/>
      <c r="I67" s="148"/>
      <c r="J67" s="148"/>
      <c r="K67" s="148"/>
      <c r="L67" s="148"/>
      <c r="M67" s="149"/>
    </row>
    <row r="68" spans="1:6" ht="10.5" customHeight="1">
      <c r="A68" s="25"/>
      <c r="E68"/>
      <c r="F68" s="16"/>
    </row>
    <row r="69" spans="1:13" ht="51.75" customHeight="1">
      <c r="A69" s="150" t="s">
        <v>98</v>
      </c>
      <c r="B69" s="151"/>
      <c r="C69" s="151"/>
      <c r="D69" s="151"/>
      <c r="E69" s="151"/>
      <c r="F69" s="151"/>
      <c r="G69" s="151"/>
      <c r="H69" s="151"/>
      <c r="I69" s="151"/>
      <c r="J69" s="151"/>
      <c r="K69" s="151"/>
      <c r="L69" s="151"/>
      <c r="M69" s="151"/>
    </row>
    <row r="70" spans="1:6" ht="12.75">
      <c r="A70" s="16"/>
      <c r="E70"/>
      <c r="F70" s="16"/>
    </row>
    <row r="71" spans="2:5" ht="12.75">
      <c r="B71" s="25" t="s">
        <v>47</v>
      </c>
      <c r="C71" s="25"/>
      <c r="D71" s="25"/>
      <c r="E71" s="16">
        <v>557000</v>
      </c>
    </row>
    <row r="72" spans="2:5" ht="12.75">
      <c r="B72" s="25" t="s">
        <v>48</v>
      </c>
      <c r="C72" s="25"/>
      <c r="D72" s="25"/>
      <c r="E72" s="16">
        <v>186000</v>
      </c>
    </row>
    <row r="73" spans="2:5" ht="7.5" customHeight="1">
      <c r="B73" s="16" t="s">
        <v>33</v>
      </c>
      <c r="E73" s="16" t="s">
        <v>33</v>
      </c>
    </row>
    <row r="74" ht="12.75">
      <c r="E74" s="16" t="s">
        <v>33</v>
      </c>
    </row>
    <row r="75" ht="12.75">
      <c r="A75" s="29" t="s">
        <v>100</v>
      </c>
    </row>
  </sheetData>
  <sheetProtection/>
  <mergeCells count="12">
    <mergeCell ref="I10:M10"/>
    <mergeCell ref="A31:M31"/>
    <mergeCell ref="A59:M59"/>
    <mergeCell ref="F61:I61"/>
    <mergeCell ref="A67:M67"/>
    <mergeCell ref="A69:M69"/>
    <mergeCell ref="A1:M1"/>
    <mergeCell ref="A2:M2"/>
    <mergeCell ref="A3:M3"/>
    <mergeCell ref="A4:M4"/>
    <mergeCell ref="A5:M5"/>
    <mergeCell ref="A8:M8"/>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69" r:id="rId3"/>
  <drawing r:id="rId2"/>
</worksheet>
</file>

<file path=xl/worksheets/sheet13.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A1" sqref="A1:M1"/>
    </sheetView>
  </sheetViews>
  <sheetFormatPr defaultColWidth="9.140625" defaultRowHeight="12.75"/>
  <cols>
    <col min="1" max="1" width="9.28125" style="3" customWidth="1"/>
    <col min="2" max="2" width="14.140625" style="16" customWidth="1"/>
    <col min="3" max="3" width="13.42187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3" width="13.00390625" style="16" customWidth="1"/>
    <col min="14" max="14" width="12.7109375" style="0" customWidth="1"/>
  </cols>
  <sheetData>
    <row r="1" spans="1:13" ht="18">
      <c r="A1" s="152" t="s">
        <v>71</v>
      </c>
      <c r="B1" s="152"/>
      <c r="C1" s="152"/>
      <c r="D1" s="152"/>
      <c r="E1" s="152"/>
      <c r="F1" s="152"/>
      <c r="G1" s="152"/>
      <c r="H1" s="152"/>
      <c r="I1" s="152"/>
      <c r="J1" s="152"/>
      <c r="K1" s="152"/>
      <c r="L1" s="152"/>
      <c r="M1" s="152"/>
    </row>
    <row r="2" spans="1:13" ht="15">
      <c r="A2" s="153" t="s">
        <v>1</v>
      </c>
      <c r="B2" s="153"/>
      <c r="C2" s="153"/>
      <c r="D2" s="153"/>
      <c r="E2" s="153"/>
      <c r="F2" s="153"/>
      <c r="G2" s="153"/>
      <c r="H2" s="153"/>
      <c r="I2" s="153"/>
      <c r="J2" s="153"/>
      <c r="K2" s="153"/>
      <c r="L2" s="153"/>
      <c r="M2" s="153"/>
    </row>
    <row r="3" spans="1:13" s="1" customFormat="1" ht="15">
      <c r="A3" s="153" t="s">
        <v>2</v>
      </c>
      <c r="B3" s="153"/>
      <c r="C3" s="153"/>
      <c r="D3" s="153"/>
      <c r="E3" s="153"/>
      <c r="F3" s="153"/>
      <c r="G3" s="153"/>
      <c r="H3" s="153"/>
      <c r="I3" s="153"/>
      <c r="J3" s="153"/>
      <c r="K3" s="153"/>
      <c r="L3" s="153"/>
      <c r="M3" s="153"/>
    </row>
    <row r="4" spans="1:13" s="1" customFormat="1" ht="14.25">
      <c r="A4" s="138" t="s">
        <v>3</v>
      </c>
      <c r="B4" s="139"/>
      <c r="C4" s="139"/>
      <c r="D4" s="139"/>
      <c r="E4" s="139"/>
      <c r="F4" s="139"/>
      <c r="G4" s="139"/>
      <c r="H4" s="139"/>
      <c r="I4" s="139"/>
      <c r="J4" s="139"/>
      <c r="K4" s="139"/>
      <c r="L4" s="139"/>
      <c r="M4" s="139"/>
    </row>
    <row r="5" spans="1:13" s="1" customFormat="1" ht="14.25">
      <c r="A5" s="154" t="s">
        <v>4</v>
      </c>
      <c r="B5" s="154"/>
      <c r="C5" s="154"/>
      <c r="D5" s="154"/>
      <c r="E5" s="154"/>
      <c r="F5" s="154"/>
      <c r="G5" s="154"/>
      <c r="H5" s="154"/>
      <c r="I5" s="154"/>
      <c r="J5" s="154"/>
      <c r="K5" s="154"/>
      <c r="L5" s="154"/>
      <c r="M5" s="154"/>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44" t="s">
        <v>74</v>
      </c>
      <c r="B8" s="145"/>
      <c r="C8" s="145"/>
      <c r="D8" s="145"/>
      <c r="E8" s="145"/>
      <c r="F8" s="145"/>
      <c r="G8" s="145"/>
      <c r="H8" s="145"/>
      <c r="I8" s="145"/>
      <c r="J8" s="145"/>
      <c r="K8" s="145"/>
      <c r="L8" s="145"/>
      <c r="M8" s="14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43" t="s">
        <v>6</v>
      </c>
      <c r="J10" s="143"/>
      <c r="K10" s="143"/>
      <c r="L10" s="143"/>
      <c r="M10" s="143"/>
    </row>
    <row r="11" spans="1:13" s="1" customFormat="1" ht="12.75">
      <c r="A11" s="3"/>
      <c r="B11" s="5"/>
      <c r="C11" s="5"/>
      <c r="D11" s="48"/>
      <c r="E11" s="5"/>
      <c r="F11" s="6"/>
      <c r="G11" s="5"/>
      <c r="H11" s="5"/>
      <c r="I11" s="5"/>
      <c r="J11" s="5"/>
      <c r="K11" s="5"/>
      <c r="L11" s="5"/>
      <c r="M11" s="5"/>
    </row>
    <row r="12" spans="1:13" s="12" customFormat="1" ht="12">
      <c r="A12" s="9"/>
      <c r="B12" s="10" t="s">
        <v>7</v>
      </c>
      <c r="C12" s="10" t="s">
        <v>75</v>
      </c>
      <c r="D12" s="10" t="s">
        <v>7</v>
      </c>
      <c r="E12" s="10"/>
      <c r="F12" s="11" t="s">
        <v>8</v>
      </c>
      <c r="G12" s="10" t="s">
        <v>9</v>
      </c>
      <c r="H12" s="10"/>
      <c r="I12" s="10" t="s">
        <v>10</v>
      </c>
      <c r="J12" s="10" t="s">
        <v>82</v>
      </c>
      <c r="K12" s="10" t="s">
        <v>11</v>
      </c>
      <c r="L12" s="10" t="s">
        <v>83</v>
      </c>
      <c r="M12" s="10" t="s">
        <v>51</v>
      </c>
    </row>
    <row r="13" spans="1:13" s="12" customFormat="1" ht="12">
      <c r="A13" s="13" t="s">
        <v>12</v>
      </c>
      <c r="B13" s="8" t="s">
        <v>13</v>
      </c>
      <c r="C13" s="8" t="s">
        <v>20</v>
      </c>
      <c r="D13" s="8" t="s">
        <v>14</v>
      </c>
      <c r="E13" s="8" t="s">
        <v>15</v>
      </c>
      <c r="F13" s="14" t="s">
        <v>16</v>
      </c>
      <c r="G13" s="8" t="s">
        <v>17</v>
      </c>
      <c r="H13" s="15"/>
      <c r="I13" s="8" t="s">
        <v>18</v>
      </c>
      <c r="J13" s="8" t="s">
        <v>19</v>
      </c>
      <c r="K13" s="8" t="s">
        <v>20</v>
      </c>
      <c r="L13" s="8" t="s">
        <v>84</v>
      </c>
      <c r="M13" s="8" t="s">
        <v>52</v>
      </c>
    </row>
    <row r="14" ht="12.75">
      <c r="D14" s="45"/>
    </row>
    <row r="15" spans="1:13" ht="12.75">
      <c r="A15" s="43">
        <v>40634</v>
      </c>
      <c r="B15" s="16">
        <v>77863426.09</v>
      </c>
      <c r="C15" s="16">
        <v>186717.15</v>
      </c>
      <c r="D15" s="45">
        <f aca="true" t="shared" si="0" ref="D15:D26">+B15-C15-E15</f>
        <v>71003999.34</v>
      </c>
      <c r="E15" s="16">
        <v>6672709.6</v>
      </c>
      <c r="F15" s="17">
        <v>939</v>
      </c>
      <c r="G15" s="16">
        <f>E15/F15/30</f>
        <v>236.87290024849128</v>
      </c>
      <c r="I15" s="16">
        <v>2335448.35</v>
      </c>
      <c r="J15" s="16">
        <v>2735810.93</v>
      </c>
      <c r="K15" s="16">
        <v>667270.96</v>
      </c>
      <c r="L15" s="16">
        <v>667270.96</v>
      </c>
      <c r="M15" s="16">
        <v>266908.39</v>
      </c>
    </row>
    <row r="16" spans="1:13" ht="12.75">
      <c r="A16" s="43">
        <v>40664</v>
      </c>
      <c r="B16" s="16">
        <v>78070398.21</v>
      </c>
      <c r="C16" s="16">
        <v>259842.3</v>
      </c>
      <c r="D16" s="45">
        <f t="shared" si="0"/>
        <v>71265789.42</v>
      </c>
      <c r="E16" s="16">
        <v>6544766.49</v>
      </c>
      <c r="F16" s="17">
        <v>939</v>
      </c>
      <c r="G16" s="16">
        <f>E16/F16/31</f>
        <v>224.8365278779759</v>
      </c>
      <c r="I16" s="16">
        <v>2290668.29</v>
      </c>
      <c r="J16" s="16">
        <v>2683354.24</v>
      </c>
      <c r="K16" s="16">
        <v>654476.65</v>
      </c>
      <c r="L16" s="16">
        <v>654476.65</v>
      </c>
      <c r="M16" s="16">
        <v>261790.66</v>
      </c>
    </row>
    <row r="17" spans="1:13" ht="12.75">
      <c r="A17" s="43">
        <v>40695</v>
      </c>
      <c r="B17" s="16">
        <v>75475968.57</v>
      </c>
      <c r="C17" s="16">
        <v>361800.01</v>
      </c>
      <c r="D17" s="45">
        <f t="shared" si="0"/>
        <v>68855909.32</v>
      </c>
      <c r="E17" s="16">
        <v>6258259.24</v>
      </c>
      <c r="F17" s="17">
        <v>939</v>
      </c>
      <c r="G17" s="16">
        <f>E17/F17/30</f>
        <v>222.16042740504085</v>
      </c>
      <c r="I17" s="16">
        <v>2190390.74</v>
      </c>
      <c r="J17" s="16">
        <v>2565886.31</v>
      </c>
      <c r="K17" s="16">
        <v>625825.91</v>
      </c>
      <c r="L17" s="16">
        <v>625825.91</v>
      </c>
      <c r="M17" s="16">
        <v>250330.37</v>
      </c>
    </row>
    <row r="18" spans="1:13" ht="12.75">
      <c r="A18" s="43">
        <v>40725</v>
      </c>
      <c r="B18" s="16">
        <v>76519682.52</v>
      </c>
      <c r="C18" s="16">
        <f>361695.84-28048.79</f>
        <v>333647.05000000005</v>
      </c>
      <c r="D18" s="45">
        <f t="shared" si="0"/>
        <v>69809620.08</v>
      </c>
      <c r="E18" s="16">
        <v>6376415.39</v>
      </c>
      <c r="F18" s="17">
        <v>939</v>
      </c>
      <c r="G18" s="16">
        <f>E18/F18/31</f>
        <v>219.05305541241538</v>
      </c>
      <c r="I18" s="16">
        <v>2231745.39</v>
      </c>
      <c r="J18" s="16">
        <v>2614330.31</v>
      </c>
      <c r="K18" s="16">
        <v>637641.54</v>
      </c>
      <c r="L18" s="16">
        <v>637641.54</v>
      </c>
      <c r="M18" s="16">
        <v>255056.62</v>
      </c>
    </row>
    <row r="19" spans="1:13" ht="12.75">
      <c r="A19" s="43">
        <v>40756</v>
      </c>
      <c r="B19" s="16">
        <v>69364329.74</v>
      </c>
      <c r="C19" s="16">
        <f>336902.07-14547.12</f>
        <v>322354.95</v>
      </c>
      <c r="D19" s="45">
        <f t="shared" si="0"/>
        <v>63216505.81999999</v>
      </c>
      <c r="E19" s="16">
        <v>5825468.97</v>
      </c>
      <c r="F19" s="17">
        <v>939</v>
      </c>
      <c r="G19" s="16">
        <f>E19/F19/31</f>
        <v>200.1260424610945</v>
      </c>
      <c r="I19" s="16">
        <v>2038914.15</v>
      </c>
      <c r="J19" s="16">
        <v>2388442.29</v>
      </c>
      <c r="K19" s="16">
        <v>582546.9</v>
      </c>
      <c r="L19" s="16">
        <v>582546.9</v>
      </c>
      <c r="M19" s="16">
        <v>233018.75</v>
      </c>
    </row>
    <row r="20" spans="1:13" ht="12.75">
      <c r="A20" s="43">
        <v>40787</v>
      </c>
      <c r="B20" s="16">
        <v>73686248.91</v>
      </c>
      <c r="C20" s="16">
        <f>250453.13-88957.12</f>
        <v>161496.01</v>
      </c>
      <c r="D20" s="45">
        <f t="shared" si="0"/>
        <v>67253538.35999998</v>
      </c>
      <c r="E20" s="16">
        <v>6271214.54</v>
      </c>
      <c r="F20" s="17">
        <v>939</v>
      </c>
      <c r="G20" s="16">
        <f>E20/F20/30</f>
        <v>222.62032445864395</v>
      </c>
      <c r="I20" s="16">
        <v>2194925.08</v>
      </c>
      <c r="J20" s="16">
        <v>2571197.96</v>
      </c>
      <c r="K20" s="16">
        <v>627121.47</v>
      </c>
      <c r="L20" s="16">
        <v>627121.47</v>
      </c>
      <c r="M20" s="16">
        <v>250848.58</v>
      </c>
    </row>
    <row r="21" spans="1:13" ht="12.75">
      <c r="A21" s="43">
        <v>40817</v>
      </c>
      <c r="B21" s="16">
        <v>73785283.08</v>
      </c>
      <c r="C21" s="16">
        <f>426408-76910</f>
        <v>349498</v>
      </c>
      <c r="D21" s="45">
        <f t="shared" si="0"/>
        <v>67179203.11</v>
      </c>
      <c r="E21" s="16">
        <v>6256581.97</v>
      </c>
      <c r="F21" s="17">
        <v>939</v>
      </c>
      <c r="G21" s="16">
        <f>E21/F21/31</f>
        <v>214.93634168126695</v>
      </c>
      <c r="I21" s="16">
        <v>2189803.7</v>
      </c>
      <c r="J21" s="16">
        <v>2565198.58</v>
      </c>
      <c r="K21" s="16">
        <v>625658.22</v>
      </c>
      <c r="L21" s="16">
        <v>625658.22</v>
      </c>
      <c r="M21" s="16">
        <v>250263.28</v>
      </c>
    </row>
    <row r="22" spans="1:13" ht="12.75">
      <c r="A22" s="43">
        <v>40848</v>
      </c>
      <c r="B22" s="16">
        <v>69417044.72</v>
      </c>
      <c r="C22" s="16">
        <f>466282.12-14122.4</f>
        <v>452159.72</v>
      </c>
      <c r="D22" s="45">
        <f t="shared" si="0"/>
        <v>63483326.18</v>
      </c>
      <c r="E22" s="16">
        <v>5481558.82</v>
      </c>
      <c r="F22" s="17">
        <v>939</v>
      </c>
      <c r="G22" s="16">
        <f>E22/F22/30</f>
        <v>194.5885275115371</v>
      </c>
      <c r="I22" s="16">
        <v>1918545.6</v>
      </c>
      <c r="J22" s="16">
        <v>2247439.13</v>
      </c>
      <c r="K22" s="16">
        <v>548155.89</v>
      </c>
      <c r="L22" s="16">
        <v>548155.89</v>
      </c>
      <c r="M22" s="16">
        <v>219262.34</v>
      </c>
    </row>
    <row r="23" spans="1:13" ht="12.75">
      <c r="A23" s="43">
        <v>40878</v>
      </c>
      <c r="B23" s="16">
        <v>73677803.74</v>
      </c>
      <c r="C23" s="16">
        <f>337952.35-20425</f>
        <v>317527.35</v>
      </c>
      <c r="D23" s="45">
        <f t="shared" si="0"/>
        <v>67384504.72</v>
      </c>
      <c r="E23" s="16">
        <v>5975771.67</v>
      </c>
      <c r="F23" s="17">
        <v>939</v>
      </c>
      <c r="G23" s="16">
        <f>E23/F23/31</f>
        <v>205.28948675667317</v>
      </c>
      <c r="I23" s="16">
        <v>2091520.07</v>
      </c>
      <c r="J23" s="16">
        <v>2450066.37</v>
      </c>
      <c r="K23" s="16">
        <v>597577.17</v>
      </c>
      <c r="L23" s="16">
        <v>597577.17</v>
      </c>
      <c r="M23" s="16">
        <v>239030.87</v>
      </c>
    </row>
    <row r="24" spans="1:13" ht="12.75">
      <c r="A24" s="43">
        <v>40909</v>
      </c>
      <c r="B24" s="16">
        <v>72623220.79</v>
      </c>
      <c r="C24" s="16">
        <f>359759.92-93689.94</f>
        <v>266069.98</v>
      </c>
      <c r="D24" s="45">
        <f t="shared" si="0"/>
        <v>66255266.57</v>
      </c>
      <c r="E24" s="16">
        <v>6101884.24</v>
      </c>
      <c r="F24" s="17">
        <v>939</v>
      </c>
      <c r="G24" s="16">
        <f>E24/F24/31</f>
        <v>209.62191212339826</v>
      </c>
      <c r="I24" s="16">
        <v>2135659.51</v>
      </c>
      <c r="J24" s="16">
        <v>2501772.54</v>
      </c>
      <c r="K24" s="16">
        <v>610188.42</v>
      </c>
      <c r="L24" s="16">
        <v>610188.42</v>
      </c>
      <c r="M24" s="16">
        <v>244075.38</v>
      </c>
    </row>
    <row r="25" spans="1:13" ht="12.75">
      <c r="A25" s="43">
        <v>40940</v>
      </c>
      <c r="B25" s="16">
        <v>79490365.6</v>
      </c>
      <c r="C25" s="16">
        <f>558655.55-10905</f>
        <v>547750.55</v>
      </c>
      <c r="D25" s="45">
        <f t="shared" si="0"/>
        <v>72594898.41</v>
      </c>
      <c r="E25" s="16">
        <v>6347716.64</v>
      </c>
      <c r="F25" s="17">
        <v>939.2068965517242</v>
      </c>
      <c r="G25" s="16">
        <f>E25/F25/29</f>
        <v>233.05491206814258</v>
      </c>
      <c r="I25" s="16">
        <v>2446194.73</v>
      </c>
      <c r="J25" s="16">
        <v>2602563.81</v>
      </c>
      <c r="K25" s="16">
        <v>634771.68</v>
      </c>
      <c r="L25" s="16">
        <v>634771.68</v>
      </c>
      <c r="M25" s="16">
        <v>29414.76</v>
      </c>
    </row>
    <row r="26" spans="1:13" ht="12.75">
      <c r="A26" s="43">
        <v>40969</v>
      </c>
      <c r="B26" s="16">
        <v>92761910.83</v>
      </c>
      <c r="C26" s="16">
        <f>543610.04-19149.8</f>
        <v>524460.24</v>
      </c>
      <c r="D26" s="45">
        <f t="shared" si="0"/>
        <v>84456142.95</v>
      </c>
      <c r="E26" s="16">
        <v>7781307.64</v>
      </c>
      <c r="F26" s="17">
        <v>940</v>
      </c>
      <c r="G26" s="16">
        <f>E26/F26/31</f>
        <v>267.0318339052848</v>
      </c>
      <c r="I26" s="16">
        <v>3034709.98</v>
      </c>
      <c r="J26" s="16">
        <v>3190336.15</v>
      </c>
      <c r="K26" s="16">
        <v>778130.78</v>
      </c>
      <c r="L26" s="16">
        <v>778130.78</v>
      </c>
      <c r="M26" s="16">
        <v>0</v>
      </c>
    </row>
    <row r="27" spans="1:13" ht="13.5" thickBot="1">
      <c r="A27" s="3" t="s">
        <v>21</v>
      </c>
      <c r="B27" s="19">
        <f>SUM(B15:B26)</f>
        <v>912735682.8</v>
      </c>
      <c r="C27" s="19">
        <f>SUM(C15:C26)</f>
        <v>4083323.3100000005</v>
      </c>
      <c r="D27" s="49">
        <f>SUM(D15:D26)</f>
        <v>832758704.28</v>
      </c>
      <c r="E27" s="19">
        <f>SUM(E15:E26)</f>
        <v>75893655.21</v>
      </c>
      <c r="I27" s="19">
        <f>SUM(I15:I26)</f>
        <v>27098525.590000004</v>
      </c>
      <c r="J27" s="19">
        <f>SUM(J15:J26)</f>
        <v>31116398.62</v>
      </c>
      <c r="K27" s="19">
        <f>SUM(K15:K26)</f>
        <v>7589365.589999999</v>
      </c>
      <c r="L27" s="19">
        <f>SUM(L15:L26)</f>
        <v>7589365.589999999</v>
      </c>
      <c r="M27" s="19">
        <f>SUM(M15:M26)</f>
        <v>2500000</v>
      </c>
    </row>
    <row r="28" spans="2:13" ht="10.5" customHeight="1" thickTop="1">
      <c r="B28" s="20"/>
      <c r="C28" s="20"/>
      <c r="D28" s="18"/>
      <c r="E28" s="20"/>
      <c r="I28" s="20"/>
      <c r="J28" s="20"/>
      <c r="K28" s="20"/>
      <c r="L28" s="20"/>
      <c r="M28" s="20"/>
    </row>
    <row r="29" spans="1:13" s="23" customFormat="1" ht="12.75">
      <c r="A29" s="21"/>
      <c r="B29" s="22"/>
      <c r="C29" s="50">
        <f>C27/B27</f>
        <v>0.00447371937675712</v>
      </c>
      <c r="D29" s="50">
        <f>D27/B27</f>
        <v>0.9123766277279152</v>
      </c>
      <c r="E29" s="22">
        <f>E27/B27</f>
        <v>0.08314965289532777</v>
      </c>
      <c r="I29" s="22">
        <f>I27/$E$27</f>
        <v>0.3570591706911148</v>
      </c>
      <c r="J29" s="22">
        <f>J27/$E$27</f>
        <v>0.4099999997878611</v>
      </c>
      <c r="K29" s="22">
        <f>K27/$E$27</f>
        <v>0.1000000009091669</v>
      </c>
      <c r="L29" s="22">
        <f>L27/$E$27</f>
        <v>0.1000000009091669</v>
      </c>
      <c r="M29" s="22">
        <f>M27/$E$27</f>
        <v>0.03294083007443015</v>
      </c>
    </row>
    <row r="31" spans="1:13" s="24" customFormat="1" ht="12.75">
      <c r="A31" s="144" t="s">
        <v>22</v>
      </c>
      <c r="B31" s="145"/>
      <c r="C31" s="145"/>
      <c r="D31" s="145"/>
      <c r="E31" s="145"/>
      <c r="F31" s="145"/>
      <c r="G31" s="145"/>
      <c r="H31" s="145"/>
      <c r="I31" s="145"/>
      <c r="J31" s="145"/>
      <c r="K31" s="145"/>
      <c r="L31" s="145"/>
      <c r="M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3" s="47" customFormat="1" ht="6" customHeight="1">
      <c r="A35" s="26"/>
      <c r="B35" s="44"/>
      <c r="C35" s="27"/>
      <c r="E35" s="51"/>
      <c r="F35" s="51"/>
      <c r="G35" s="51"/>
      <c r="H35" s="51"/>
      <c r="I35" s="51"/>
      <c r="J35" s="51"/>
      <c r="K35" s="51"/>
      <c r="L35" s="51"/>
      <c r="M35" s="51"/>
    </row>
    <row r="36" spans="1:13" s="47" customFormat="1" ht="12.75">
      <c r="A36" s="26" t="s">
        <v>99</v>
      </c>
      <c r="B36" s="44"/>
      <c r="C36" s="27" t="s">
        <v>89</v>
      </c>
      <c r="D36" s="45"/>
      <c r="E36" s="45"/>
      <c r="F36" s="27"/>
      <c r="G36" s="27"/>
      <c r="H36" s="27"/>
      <c r="I36" s="27"/>
      <c r="J36" s="44"/>
      <c r="K36" s="44"/>
      <c r="L36" s="44"/>
      <c r="M36" s="44"/>
    </row>
    <row r="37" spans="1:13" s="47" customFormat="1" ht="6" customHeight="1">
      <c r="A37" s="26"/>
      <c r="B37" s="44"/>
      <c r="C37" s="27"/>
      <c r="E37" s="45"/>
      <c r="F37" s="27"/>
      <c r="G37" s="27"/>
      <c r="H37" s="27"/>
      <c r="I37" s="27"/>
      <c r="J37" s="44"/>
      <c r="K37" s="44"/>
      <c r="L37" s="44"/>
      <c r="M37" s="44"/>
    </row>
    <row r="38" spans="1:13" s="47" customFormat="1" ht="12.75">
      <c r="A38" s="26" t="s">
        <v>24</v>
      </c>
      <c r="B38" s="44"/>
      <c r="C38" s="27" t="s">
        <v>25</v>
      </c>
      <c r="E38" s="45"/>
      <c r="F38" s="27"/>
      <c r="G38" s="27"/>
      <c r="H38" s="27"/>
      <c r="I38" s="27"/>
      <c r="J38" s="44"/>
      <c r="K38" s="44"/>
      <c r="L38" s="44"/>
      <c r="M38" s="44"/>
    </row>
    <row r="39" spans="1:13" s="47" customFormat="1" ht="6" customHeight="1">
      <c r="A39" s="26"/>
      <c r="B39" s="44"/>
      <c r="C39" s="27"/>
      <c r="E39" s="45"/>
      <c r="F39" s="27"/>
      <c r="G39" s="27"/>
      <c r="H39" s="27"/>
      <c r="I39" s="27"/>
      <c r="J39" s="44"/>
      <c r="K39" s="44"/>
      <c r="L39" s="44"/>
      <c r="M39" s="44"/>
    </row>
    <row r="40" spans="1:13" s="47" customFormat="1" ht="12.75">
      <c r="A40" s="26" t="s">
        <v>26</v>
      </c>
      <c r="B40" s="44"/>
      <c r="C40" s="44" t="s">
        <v>65</v>
      </c>
      <c r="E40" s="45"/>
      <c r="F40" s="46"/>
      <c r="G40" s="44"/>
      <c r="H40" s="44"/>
      <c r="I40" s="44"/>
      <c r="J40" s="44"/>
      <c r="K40" s="44"/>
      <c r="L40" s="44"/>
      <c r="M40" s="44"/>
    </row>
    <row r="41" spans="1:13" s="47" customFormat="1" ht="12.75">
      <c r="A41" s="26"/>
      <c r="B41" s="44"/>
      <c r="C41" s="44" t="s">
        <v>66</v>
      </c>
      <c r="E41" s="45"/>
      <c r="F41" s="46"/>
      <c r="G41" s="44"/>
      <c r="H41" s="44"/>
      <c r="I41" s="44"/>
      <c r="J41" s="44"/>
      <c r="K41" s="44"/>
      <c r="L41" s="44"/>
      <c r="M41" s="44"/>
    </row>
    <row r="42" spans="1:13" s="47" customFormat="1" ht="6" customHeight="1">
      <c r="A42" s="26"/>
      <c r="B42" s="44"/>
      <c r="C42" s="44"/>
      <c r="E42" s="45"/>
      <c r="F42" s="46"/>
      <c r="G42" s="44"/>
      <c r="H42" s="44"/>
      <c r="I42" s="44"/>
      <c r="J42" s="44"/>
      <c r="K42" s="44"/>
      <c r="L42" s="44"/>
      <c r="M42" s="44"/>
    </row>
    <row r="43" spans="1:13" s="47" customFormat="1" ht="12.75">
      <c r="A43" s="26" t="s">
        <v>29</v>
      </c>
      <c r="B43" s="44"/>
      <c r="C43" s="44" t="s">
        <v>30</v>
      </c>
      <c r="E43" s="45"/>
      <c r="F43" s="46"/>
      <c r="G43" s="44"/>
      <c r="H43" s="44"/>
      <c r="I43" s="44"/>
      <c r="J43" s="44"/>
      <c r="K43" s="44"/>
      <c r="L43" s="44"/>
      <c r="M43" s="44"/>
    </row>
    <row r="44" spans="1:13" s="47" customFormat="1" ht="6" customHeight="1">
      <c r="A44" s="26"/>
      <c r="B44" s="44"/>
      <c r="C44" s="44"/>
      <c r="D44" s="44"/>
      <c r="E44" s="45"/>
      <c r="F44" s="46"/>
      <c r="G44" s="44"/>
      <c r="H44" s="44"/>
      <c r="I44" s="44"/>
      <c r="J44" s="44"/>
      <c r="K44" s="44"/>
      <c r="L44" s="44"/>
      <c r="M44" s="44"/>
    </row>
    <row r="45" spans="1:12" s="47" customFormat="1" ht="12.75">
      <c r="A45" s="26" t="s">
        <v>76</v>
      </c>
      <c r="B45" s="44"/>
      <c r="C45" s="44" t="s">
        <v>77</v>
      </c>
      <c r="D45" s="45"/>
      <c r="E45" s="46"/>
      <c r="F45" s="44"/>
      <c r="G45" s="44"/>
      <c r="H45" s="44"/>
      <c r="I45" s="44"/>
      <c r="J45" s="44"/>
      <c r="K45" s="44"/>
      <c r="L45" s="44"/>
    </row>
    <row r="46" spans="1:12" s="47" customFormat="1" ht="12.75">
      <c r="A46" s="26"/>
      <c r="B46" s="44"/>
      <c r="C46" s="44" t="s">
        <v>85</v>
      </c>
      <c r="D46" s="45"/>
      <c r="E46" s="46"/>
      <c r="F46" s="44"/>
      <c r="G46" s="44"/>
      <c r="H46" s="44"/>
      <c r="I46" s="44"/>
      <c r="J46" s="44"/>
      <c r="K46" s="44"/>
      <c r="L46" s="44"/>
    </row>
    <row r="47" spans="1:12" s="47" customFormat="1" ht="12.75">
      <c r="A47" s="26"/>
      <c r="B47" s="44"/>
      <c r="C47" s="44" t="s">
        <v>86</v>
      </c>
      <c r="D47" s="45"/>
      <c r="E47" s="46"/>
      <c r="F47" s="44"/>
      <c r="G47" s="44"/>
      <c r="H47" s="44"/>
      <c r="I47" s="44"/>
      <c r="J47" s="44"/>
      <c r="K47" s="44"/>
      <c r="L47" s="44"/>
    </row>
    <row r="48" spans="1:13" s="47" customFormat="1" ht="6" customHeight="1">
      <c r="A48" s="26"/>
      <c r="B48" s="44"/>
      <c r="C48" s="44"/>
      <c r="D48" s="44"/>
      <c r="E48" s="45"/>
      <c r="F48" s="46"/>
      <c r="G48" s="44"/>
      <c r="H48" s="44"/>
      <c r="I48" s="44"/>
      <c r="J48" s="44"/>
      <c r="K48" s="44"/>
      <c r="L48" s="44"/>
      <c r="M48" s="44"/>
    </row>
    <row r="49" spans="1:12" s="47" customFormat="1" ht="12.75">
      <c r="A49" s="26" t="s">
        <v>31</v>
      </c>
      <c r="B49" s="44"/>
      <c r="C49" s="44" t="s">
        <v>78</v>
      </c>
      <c r="D49" s="45"/>
      <c r="E49" s="46"/>
      <c r="F49" s="44"/>
      <c r="G49" s="44"/>
      <c r="H49" s="44"/>
      <c r="I49" s="44"/>
      <c r="J49" s="44"/>
      <c r="K49" s="44"/>
      <c r="L49" s="44"/>
    </row>
    <row r="50" spans="1:12" s="47" customFormat="1" ht="12.75">
      <c r="A50" s="26"/>
      <c r="B50" s="44"/>
      <c r="C50" s="44" t="s">
        <v>79</v>
      </c>
      <c r="D50" s="45"/>
      <c r="E50" s="46"/>
      <c r="F50" s="44"/>
      <c r="G50" s="44"/>
      <c r="H50" s="44"/>
      <c r="I50" s="44"/>
      <c r="J50" s="44"/>
      <c r="K50" s="44"/>
      <c r="L50" s="44"/>
    </row>
    <row r="51" spans="1:13" s="47" customFormat="1" ht="6" customHeight="1">
      <c r="A51" s="26"/>
      <c r="B51" s="44"/>
      <c r="C51" s="44"/>
      <c r="E51" s="45"/>
      <c r="F51" s="46"/>
      <c r="G51" s="44"/>
      <c r="H51" s="44"/>
      <c r="I51" s="44"/>
      <c r="J51" s="44"/>
      <c r="K51" s="44"/>
      <c r="L51" s="44"/>
      <c r="M51" s="44"/>
    </row>
    <row r="52" spans="1:12" s="47" customFormat="1" ht="12.75">
      <c r="A52" s="26" t="s">
        <v>88</v>
      </c>
      <c r="B52" s="44"/>
      <c r="C52" s="44" t="s">
        <v>80</v>
      </c>
      <c r="D52" s="45"/>
      <c r="E52" s="46"/>
      <c r="F52" s="44"/>
      <c r="G52" s="44"/>
      <c r="H52" s="44"/>
      <c r="I52" s="44"/>
      <c r="J52" s="44"/>
      <c r="K52" s="44"/>
      <c r="L52" s="44"/>
    </row>
    <row r="53" spans="1:12" s="47" customFormat="1" ht="12.75">
      <c r="A53" s="29"/>
      <c r="B53" s="44"/>
      <c r="C53" s="44" t="s">
        <v>81</v>
      </c>
      <c r="D53" s="45"/>
      <c r="E53" s="46"/>
      <c r="F53" s="44"/>
      <c r="G53" s="44"/>
      <c r="H53" s="44"/>
      <c r="I53" s="44"/>
      <c r="J53" s="44"/>
      <c r="K53" s="44"/>
      <c r="L53" s="44"/>
    </row>
    <row r="54" spans="1:13" s="47" customFormat="1" ht="6" customHeight="1">
      <c r="A54" s="30"/>
      <c r="B54" s="52"/>
      <c r="C54" s="52"/>
      <c r="E54" s="52"/>
      <c r="F54" s="53"/>
      <c r="G54" s="52"/>
      <c r="H54" s="52"/>
      <c r="I54" s="52"/>
      <c r="J54" s="52"/>
      <c r="K54" s="52"/>
      <c r="L54" s="52"/>
      <c r="M54" s="52"/>
    </row>
    <row r="55" spans="1:13" s="47" customFormat="1" ht="12.75">
      <c r="A55" s="26" t="s">
        <v>53</v>
      </c>
      <c r="B55" s="44"/>
      <c r="C55" s="44" t="s">
        <v>67</v>
      </c>
      <c r="E55" s="45"/>
      <c r="F55" s="46"/>
      <c r="G55" s="44"/>
      <c r="H55" s="44"/>
      <c r="I55" s="44"/>
      <c r="J55" s="44"/>
      <c r="K55" s="44"/>
      <c r="L55" s="44"/>
      <c r="M55" s="45"/>
    </row>
    <row r="56" spans="1:13" s="47" customFormat="1" ht="12.75">
      <c r="A56" s="29"/>
      <c r="B56" s="44"/>
      <c r="C56" s="44" t="s">
        <v>68</v>
      </c>
      <c r="E56" s="45"/>
      <c r="F56" s="46"/>
      <c r="G56" s="44"/>
      <c r="H56" s="44"/>
      <c r="I56" s="44"/>
      <c r="J56" s="44"/>
      <c r="K56" s="44"/>
      <c r="L56" s="44"/>
      <c r="M56" s="45"/>
    </row>
    <row r="57" spans="1:13" s="47" customFormat="1" ht="12.75">
      <c r="A57" s="29"/>
      <c r="B57" s="44"/>
      <c r="C57" s="44" t="s">
        <v>69</v>
      </c>
      <c r="E57" s="45"/>
      <c r="F57" s="46"/>
      <c r="G57" s="44"/>
      <c r="H57" s="44"/>
      <c r="I57" s="44"/>
      <c r="J57" s="44"/>
      <c r="K57" s="44"/>
      <c r="L57" s="44"/>
      <c r="M57" s="45"/>
    </row>
    <row r="58" spans="1:13" ht="12.75">
      <c r="A58" s="30"/>
      <c r="B58" s="31"/>
      <c r="C58" s="31"/>
      <c r="D58" s="44"/>
      <c r="E58" s="31"/>
      <c r="F58" s="32"/>
      <c r="G58" s="31"/>
      <c r="H58" s="31"/>
      <c r="I58" s="31"/>
      <c r="J58" s="31"/>
      <c r="K58" s="31"/>
      <c r="L58" s="31"/>
      <c r="M58" s="31"/>
    </row>
    <row r="59" spans="1:13" s="24" customFormat="1" ht="12.75">
      <c r="A59" s="144" t="s">
        <v>32</v>
      </c>
      <c r="B59" s="145"/>
      <c r="C59" s="145"/>
      <c r="D59" s="145"/>
      <c r="E59" s="145"/>
      <c r="F59" s="145"/>
      <c r="G59" s="145"/>
      <c r="H59" s="145"/>
      <c r="I59" s="145"/>
      <c r="J59" s="145"/>
      <c r="K59" s="145"/>
      <c r="L59" s="145"/>
      <c r="M59" s="146"/>
    </row>
    <row r="60" ht="12.75">
      <c r="A60" s="25"/>
    </row>
    <row r="61" spans="1:13" ht="13.5">
      <c r="A61" s="33"/>
      <c r="E61" s="10" t="s">
        <v>10</v>
      </c>
      <c r="F61" s="143" t="s">
        <v>90</v>
      </c>
      <c r="G61" s="143"/>
      <c r="H61" s="143"/>
      <c r="I61" s="143"/>
      <c r="J61" s="10" t="s">
        <v>11</v>
      </c>
      <c r="K61" s="10" t="s">
        <v>83</v>
      </c>
      <c r="L61" s="10" t="s">
        <v>51</v>
      </c>
      <c r="M61" s="35"/>
    </row>
    <row r="62" spans="1:13" ht="12.75">
      <c r="A62" s="36"/>
      <c r="E62" s="8" t="s">
        <v>18</v>
      </c>
      <c r="F62" s="8" t="s">
        <v>91</v>
      </c>
      <c r="G62" s="56" t="s">
        <v>92</v>
      </c>
      <c r="H62" s="37"/>
      <c r="I62" s="8" t="s">
        <v>93</v>
      </c>
      <c r="J62" s="8" t="s">
        <v>20</v>
      </c>
      <c r="K62" s="8" t="s">
        <v>84</v>
      </c>
      <c r="L62" s="8" t="s">
        <v>52</v>
      </c>
      <c r="M62" s="35"/>
    </row>
    <row r="63" spans="2:13" ht="12.75">
      <c r="B63" s="40" t="s">
        <v>61</v>
      </c>
      <c r="C63" s="40"/>
      <c r="D63" s="40"/>
      <c r="E63" s="57">
        <v>0.35</v>
      </c>
      <c r="F63" s="57">
        <v>0.31</v>
      </c>
      <c r="G63" s="58">
        <v>0.0875</v>
      </c>
      <c r="H63" s="59"/>
      <c r="I63" s="57">
        <v>0.0125</v>
      </c>
      <c r="J63" s="57">
        <v>0.1</v>
      </c>
      <c r="K63" s="57">
        <v>0.1</v>
      </c>
      <c r="L63" s="57">
        <v>0.04</v>
      </c>
      <c r="M63" s="39"/>
    </row>
    <row r="64" spans="2:13" ht="12.75">
      <c r="B64" s="40" t="s">
        <v>62</v>
      </c>
      <c r="C64" s="40"/>
      <c r="D64" s="40"/>
      <c r="E64" s="57">
        <v>0.39</v>
      </c>
      <c r="F64" s="57">
        <v>0.31</v>
      </c>
      <c r="G64" s="58">
        <v>0.0875</v>
      </c>
      <c r="H64" s="59"/>
      <c r="I64" s="57">
        <v>0.0125</v>
      </c>
      <c r="J64" s="57">
        <v>0.1</v>
      </c>
      <c r="K64" s="57">
        <v>0.1</v>
      </c>
      <c r="L64" s="57">
        <v>0</v>
      </c>
      <c r="M64" s="39"/>
    </row>
    <row r="65" spans="2:13" ht="12.75">
      <c r="B65" s="40" t="s">
        <v>59</v>
      </c>
      <c r="C65" s="40"/>
      <c r="D65" s="40"/>
      <c r="E65" s="57">
        <v>0.41</v>
      </c>
      <c r="F65" s="57">
        <v>0.31</v>
      </c>
      <c r="G65" s="58">
        <v>0.0875</v>
      </c>
      <c r="H65" s="59"/>
      <c r="I65" s="57">
        <v>0.0125</v>
      </c>
      <c r="J65" s="57">
        <v>0.08</v>
      </c>
      <c r="K65" s="57">
        <v>0.1</v>
      </c>
      <c r="L65" s="57">
        <v>0</v>
      </c>
      <c r="M65" s="39"/>
    </row>
    <row r="66" spans="2:13" ht="12.75">
      <c r="B66" s="40"/>
      <c r="C66" s="40"/>
      <c r="D66" s="40"/>
      <c r="E66" s="27"/>
      <c r="F66" s="28"/>
      <c r="G66" s="41"/>
      <c r="H66" s="27"/>
      <c r="I66" s="41"/>
      <c r="J66" s="41"/>
      <c r="K66" s="41"/>
      <c r="L66" s="41"/>
      <c r="M66" s="39"/>
    </row>
    <row r="67" spans="1:13" s="24" customFormat="1" ht="12.75">
      <c r="A67" s="147" t="s">
        <v>46</v>
      </c>
      <c r="B67" s="148"/>
      <c r="C67" s="148"/>
      <c r="D67" s="148"/>
      <c r="E67" s="148"/>
      <c r="F67" s="148"/>
      <c r="G67" s="148"/>
      <c r="H67" s="148"/>
      <c r="I67" s="148"/>
      <c r="J67" s="148"/>
      <c r="K67" s="148"/>
      <c r="L67" s="148"/>
      <c r="M67" s="149"/>
    </row>
    <row r="68" spans="1:6" ht="10.5" customHeight="1">
      <c r="A68" s="25"/>
      <c r="E68"/>
      <c r="F68" s="16"/>
    </row>
    <row r="69" spans="1:13" ht="51.75" customHeight="1">
      <c r="A69" s="150" t="s">
        <v>94</v>
      </c>
      <c r="B69" s="151"/>
      <c r="C69" s="151"/>
      <c r="D69" s="151"/>
      <c r="E69" s="151"/>
      <c r="F69" s="151"/>
      <c r="G69" s="151"/>
      <c r="H69" s="151"/>
      <c r="I69" s="151"/>
      <c r="J69" s="151"/>
      <c r="K69" s="151"/>
      <c r="L69" s="151"/>
      <c r="M69" s="151"/>
    </row>
    <row r="70" spans="1:6" ht="12.75">
      <c r="A70" s="16"/>
      <c r="E70"/>
      <c r="F70" s="16"/>
    </row>
    <row r="71" spans="2:5" ht="12.75">
      <c r="B71" s="25" t="s">
        <v>47</v>
      </c>
      <c r="C71" s="25"/>
      <c r="D71" s="25"/>
      <c r="E71" s="16">
        <v>557000</v>
      </c>
    </row>
    <row r="72" spans="2:5" ht="12.75">
      <c r="B72" s="25" t="s">
        <v>48</v>
      </c>
      <c r="C72" s="25"/>
      <c r="D72" s="25"/>
      <c r="E72" s="16">
        <v>186000</v>
      </c>
    </row>
    <row r="73" spans="2:5" ht="7.5" customHeight="1">
      <c r="B73" s="16" t="s">
        <v>33</v>
      </c>
      <c r="E73" s="16" t="s">
        <v>33</v>
      </c>
    </row>
    <row r="74" ht="12.75">
      <c r="E74" s="16" t="s">
        <v>33</v>
      </c>
    </row>
    <row r="75" ht="12.75">
      <c r="A75" s="25" t="s">
        <v>35</v>
      </c>
    </row>
  </sheetData>
  <sheetProtection/>
  <mergeCells count="12">
    <mergeCell ref="A69:M69"/>
    <mergeCell ref="A31:M31"/>
    <mergeCell ref="A59:M59"/>
    <mergeCell ref="I10:M10"/>
    <mergeCell ref="A8:M8"/>
    <mergeCell ref="F61:I61"/>
    <mergeCell ref="A1:M1"/>
    <mergeCell ref="A2:M2"/>
    <mergeCell ref="A3:M3"/>
    <mergeCell ref="A4:M4"/>
    <mergeCell ref="A5:M5"/>
    <mergeCell ref="A67:M67"/>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69" r:id="rId3"/>
  <drawing r:id="rId2"/>
</worksheet>
</file>

<file path=xl/worksheets/sheet14.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1">
      <selection activeCell="A1" sqref="A1:L1"/>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8" width="13.00390625" style="16" customWidth="1"/>
    <col min="9" max="9" width="13.28125" style="16" customWidth="1"/>
    <col min="10" max="10" width="14.140625" style="16" customWidth="1"/>
    <col min="11" max="11" width="14.28125" style="16" customWidth="1"/>
    <col min="12" max="12" width="12.140625" style="16" customWidth="1"/>
    <col min="13" max="13" width="12.7109375" style="0" customWidth="1"/>
  </cols>
  <sheetData>
    <row r="1" spans="1:12" ht="18">
      <c r="A1" s="152" t="s">
        <v>71</v>
      </c>
      <c r="B1" s="152"/>
      <c r="C1" s="152"/>
      <c r="D1" s="152"/>
      <c r="E1" s="152"/>
      <c r="F1" s="152"/>
      <c r="G1" s="152"/>
      <c r="H1" s="152"/>
      <c r="I1" s="152"/>
      <c r="J1" s="152"/>
      <c r="K1" s="152"/>
      <c r="L1" s="152"/>
    </row>
    <row r="2" spans="1:12" ht="15">
      <c r="A2" s="153" t="s">
        <v>1</v>
      </c>
      <c r="B2" s="153"/>
      <c r="C2" s="153"/>
      <c r="D2" s="153"/>
      <c r="E2" s="153"/>
      <c r="F2" s="153"/>
      <c r="G2" s="153"/>
      <c r="H2" s="153"/>
      <c r="I2" s="153"/>
      <c r="J2" s="153"/>
      <c r="K2" s="153"/>
      <c r="L2" s="153"/>
    </row>
    <row r="3" spans="1:12" s="1" customFormat="1" ht="15">
      <c r="A3" s="153" t="s">
        <v>2</v>
      </c>
      <c r="B3" s="153"/>
      <c r="C3" s="153"/>
      <c r="D3" s="153"/>
      <c r="E3" s="153"/>
      <c r="F3" s="153"/>
      <c r="G3" s="153"/>
      <c r="H3" s="153"/>
      <c r="I3" s="153"/>
      <c r="J3" s="153"/>
      <c r="K3" s="153"/>
      <c r="L3" s="153"/>
    </row>
    <row r="4" spans="1:12" s="1" customFormat="1" ht="14.25">
      <c r="A4" s="138" t="s">
        <v>3</v>
      </c>
      <c r="B4" s="139"/>
      <c r="C4" s="139"/>
      <c r="D4" s="139"/>
      <c r="E4" s="139"/>
      <c r="F4" s="139"/>
      <c r="G4" s="139"/>
      <c r="H4" s="139"/>
      <c r="I4" s="139"/>
      <c r="J4" s="139"/>
      <c r="K4" s="139"/>
      <c r="L4" s="139"/>
    </row>
    <row r="5" spans="1:12" s="1" customFormat="1" ht="14.25">
      <c r="A5" s="154" t="s">
        <v>4</v>
      </c>
      <c r="B5" s="154"/>
      <c r="C5" s="154"/>
      <c r="D5" s="154"/>
      <c r="E5" s="154"/>
      <c r="F5" s="154"/>
      <c r="G5" s="154"/>
      <c r="H5" s="154"/>
      <c r="I5" s="154"/>
      <c r="J5" s="154"/>
      <c r="K5" s="154"/>
      <c r="L5" s="154"/>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144" t="s">
        <v>70</v>
      </c>
      <c r="B8" s="145"/>
      <c r="C8" s="145"/>
      <c r="D8" s="145"/>
      <c r="E8" s="145"/>
      <c r="F8" s="145"/>
      <c r="G8" s="145"/>
      <c r="H8" s="145"/>
      <c r="I8" s="145"/>
      <c r="J8" s="145"/>
      <c r="K8" s="145"/>
      <c r="L8" s="146"/>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143" t="s">
        <v>6</v>
      </c>
      <c r="I10" s="143"/>
      <c r="J10" s="143"/>
      <c r="K10" s="143"/>
      <c r="L10" s="143"/>
    </row>
    <row r="11" spans="1:12" s="1" customFormat="1" ht="12.75">
      <c r="A11" s="3"/>
      <c r="B11" s="5"/>
      <c r="C11" s="48"/>
      <c r="D11" s="5"/>
      <c r="E11" s="6"/>
      <c r="F11" s="5"/>
      <c r="G11" s="5"/>
      <c r="H11" s="5"/>
      <c r="I11" s="5"/>
      <c r="J11" s="5"/>
      <c r="K11" s="5"/>
      <c r="L11" s="5"/>
    </row>
    <row r="12" spans="1:12" s="12" customFormat="1" ht="12">
      <c r="A12" s="9"/>
      <c r="B12" s="10" t="s">
        <v>7</v>
      </c>
      <c r="C12" s="10" t="s">
        <v>7</v>
      </c>
      <c r="D12" s="10"/>
      <c r="E12" s="11" t="s">
        <v>8</v>
      </c>
      <c r="F12" s="10" t="s">
        <v>9</v>
      </c>
      <c r="G12" s="10"/>
      <c r="H12" s="10" t="s">
        <v>10</v>
      </c>
      <c r="I12" s="10" t="s">
        <v>82</v>
      </c>
      <c r="J12" s="10" t="s">
        <v>11</v>
      </c>
      <c r="K12" s="10" t="s">
        <v>83</v>
      </c>
      <c r="L12" s="10" t="s">
        <v>51</v>
      </c>
    </row>
    <row r="13" spans="1:12" s="12" customFormat="1" ht="12">
      <c r="A13" s="13" t="s">
        <v>12</v>
      </c>
      <c r="B13" s="8" t="s">
        <v>13</v>
      </c>
      <c r="C13" s="8" t="s">
        <v>14</v>
      </c>
      <c r="D13" s="8" t="s">
        <v>15</v>
      </c>
      <c r="E13" s="14" t="s">
        <v>16</v>
      </c>
      <c r="F13" s="8" t="s">
        <v>17</v>
      </c>
      <c r="G13" s="15"/>
      <c r="H13" s="8" t="s">
        <v>18</v>
      </c>
      <c r="I13" s="8" t="s">
        <v>19</v>
      </c>
      <c r="J13" s="8" t="s">
        <v>20</v>
      </c>
      <c r="K13" s="8" t="s">
        <v>84</v>
      </c>
      <c r="L13" s="8" t="s">
        <v>52</v>
      </c>
    </row>
    <row r="14" ht="12.75">
      <c r="C14" s="45"/>
    </row>
    <row r="15" spans="1:12" ht="12.75">
      <c r="A15" s="43">
        <v>40269</v>
      </c>
      <c r="B15" s="16">
        <v>57385659.2</v>
      </c>
      <c r="C15" s="45">
        <f aca="true" t="shared" si="0" ref="C15:C26">+B15-D15</f>
        <v>52284355.18000001</v>
      </c>
      <c r="D15" s="16">
        <v>5101304.02</v>
      </c>
      <c r="E15" s="17">
        <v>959</v>
      </c>
      <c r="F15" s="16">
        <f>D15/E15/30</f>
        <v>177.31331317344453</v>
      </c>
      <c r="H15" s="16">
        <v>1734443.39</v>
      </c>
      <c r="I15" s="16">
        <v>2142547.68</v>
      </c>
      <c r="J15" s="16">
        <v>510130.42</v>
      </c>
      <c r="K15" s="16">
        <v>510130.42</v>
      </c>
      <c r="L15" s="16">
        <v>204052.17</v>
      </c>
    </row>
    <row r="16" spans="1:12" ht="12.75">
      <c r="A16" s="43">
        <v>40299</v>
      </c>
      <c r="B16" s="16">
        <v>58651370.84</v>
      </c>
      <c r="C16" s="45">
        <f t="shared" si="0"/>
        <v>53653712.75</v>
      </c>
      <c r="D16" s="16">
        <v>4997658.09</v>
      </c>
      <c r="E16" s="17">
        <v>959</v>
      </c>
      <c r="F16" s="16">
        <f>D16/E16/31</f>
        <v>168.10717111238185</v>
      </c>
      <c r="H16" s="16">
        <v>1699203.75</v>
      </c>
      <c r="I16" s="16">
        <v>2099016.41</v>
      </c>
      <c r="J16" s="16">
        <v>499765.81</v>
      </c>
      <c r="K16" s="16">
        <v>499765.81</v>
      </c>
      <c r="L16" s="16">
        <v>199906.3</v>
      </c>
    </row>
    <row r="17" spans="1:12" ht="12.75">
      <c r="A17" s="43">
        <v>40330</v>
      </c>
      <c r="B17" s="16">
        <v>57805196.62</v>
      </c>
      <c r="C17" s="45">
        <f t="shared" si="0"/>
        <v>52778147.83</v>
      </c>
      <c r="D17" s="16">
        <v>5027048.79</v>
      </c>
      <c r="E17" s="17">
        <v>959</v>
      </c>
      <c r="F17" s="16">
        <f>D17/E17/30</f>
        <v>174.73231803962463</v>
      </c>
      <c r="H17" s="16">
        <v>1709196.59</v>
      </c>
      <c r="I17" s="16">
        <v>2111360.5</v>
      </c>
      <c r="J17" s="16">
        <v>502704.88</v>
      </c>
      <c r="K17" s="16">
        <v>502704.88</v>
      </c>
      <c r="L17" s="16">
        <v>201081.94</v>
      </c>
    </row>
    <row r="18" spans="1:12" ht="12.75">
      <c r="A18" s="43">
        <v>40360</v>
      </c>
      <c r="B18" s="16">
        <v>62161524.18</v>
      </c>
      <c r="C18" s="45">
        <f t="shared" si="0"/>
        <v>56679768.89</v>
      </c>
      <c r="D18" s="16">
        <v>5481755.29</v>
      </c>
      <c r="E18" s="17">
        <v>959</v>
      </c>
      <c r="F18" s="16">
        <f>D18/E18/31</f>
        <v>184.39084025698813</v>
      </c>
      <c r="H18" s="16">
        <v>1863796.78</v>
      </c>
      <c r="I18" s="16">
        <v>2302337.23</v>
      </c>
      <c r="J18" s="16">
        <v>548175.54</v>
      </c>
      <c r="K18" s="16">
        <v>548175.54</v>
      </c>
      <c r="L18" s="16">
        <v>219270.23</v>
      </c>
    </row>
    <row r="19" spans="1:12" ht="12.75">
      <c r="A19" s="43">
        <v>40391</v>
      </c>
      <c r="B19" s="16">
        <v>58725810.51</v>
      </c>
      <c r="C19" s="45">
        <f t="shared" si="0"/>
        <v>53565062.66</v>
      </c>
      <c r="D19" s="16">
        <v>5160747.85</v>
      </c>
      <c r="E19" s="17">
        <v>821.7741935483871</v>
      </c>
      <c r="F19" s="16">
        <f>D19/E19/31</f>
        <v>202.58087733071636</v>
      </c>
      <c r="H19" s="16">
        <v>1793439.29</v>
      </c>
      <c r="I19" s="16">
        <v>2128729.09</v>
      </c>
      <c r="J19" s="16">
        <v>516074.78</v>
      </c>
      <c r="K19" s="16">
        <v>516074.378</v>
      </c>
      <c r="L19" s="16">
        <v>206429.91</v>
      </c>
    </row>
    <row r="20" spans="1:12" ht="12.75">
      <c r="A20" s="43">
        <v>40422</v>
      </c>
      <c r="B20" s="16">
        <v>70966103.87</v>
      </c>
      <c r="C20" s="45">
        <f t="shared" si="0"/>
        <v>64759929.150000006</v>
      </c>
      <c r="D20" s="16">
        <v>6206174.72</v>
      </c>
      <c r="E20" s="17">
        <v>937</v>
      </c>
      <c r="F20" s="16">
        <f>D20/E20/30</f>
        <v>220.78174030594093</v>
      </c>
      <c r="H20" s="16">
        <v>2172161.14</v>
      </c>
      <c r="I20" s="16">
        <v>2544531.63</v>
      </c>
      <c r="J20" s="16">
        <v>620617.5</v>
      </c>
      <c r="K20" s="16">
        <v>620617.5</v>
      </c>
      <c r="L20" s="16">
        <v>248247</v>
      </c>
    </row>
    <row r="21" spans="1:12" ht="12.75">
      <c r="A21" s="43">
        <v>40452</v>
      </c>
      <c r="B21" s="16">
        <v>65629570.24</v>
      </c>
      <c r="C21" s="45">
        <f t="shared" si="0"/>
        <v>60070117.980000004</v>
      </c>
      <c r="D21" s="16">
        <v>5559452.26</v>
      </c>
      <c r="E21" s="17">
        <v>938.2258064516129</v>
      </c>
      <c r="F21" s="16">
        <f>D21/E21/31</f>
        <v>191.14499776517104</v>
      </c>
      <c r="H21" s="16">
        <v>1945808.3</v>
      </c>
      <c r="I21" s="16">
        <v>2279375.41</v>
      </c>
      <c r="J21" s="16">
        <v>555945.25</v>
      </c>
      <c r="K21" s="16">
        <v>555945.25</v>
      </c>
      <c r="L21" s="16">
        <v>222378.11</v>
      </c>
    </row>
    <row r="22" spans="1:12" ht="12.75">
      <c r="A22" s="43">
        <v>40483</v>
      </c>
      <c r="B22" s="16">
        <v>58934077.6</v>
      </c>
      <c r="C22" s="45">
        <f t="shared" si="0"/>
        <v>53803105.510000005</v>
      </c>
      <c r="D22" s="16">
        <v>5130972.09</v>
      </c>
      <c r="E22" s="17">
        <v>939</v>
      </c>
      <c r="F22" s="16">
        <f>D22/E22/30</f>
        <v>182.14313418530352</v>
      </c>
      <c r="H22" s="16">
        <v>1795840.24</v>
      </c>
      <c r="I22" s="16">
        <v>2103698.57</v>
      </c>
      <c r="J22" s="16">
        <v>513097.21</v>
      </c>
      <c r="K22" s="16">
        <v>513097.21</v>
      </c>
      <c r="L22" s="16">
        <v>205238.88</v>
      </c>
    </row>
    <row r="23" spans="1:12" ht="12.75">
      <c r="A23" s="43">
        <v>40513</v>
      </c>
      <c r="B23" s="16">
        <v>54990099.75</v>
      </c>
      <c r="C23" s="45">
        <f t="shared" si="0"/>
        <v>50166801.82</v>
      </c>
      <c r="D23" s="16">
        <v>4823297.93</v>
      </c>
      <c r="E23" s="17">
        <v>939</v>
      </c>
      <c r="F23" s="16">
        <f>D23/E23/31</f>
        <v>165.6978230100656</v>
      </c>
      <c r="H23" s="16">
        <v>1688154.31</v>
      </c>
      <c r="I23" s="16">
        <v>1977552.18</v>
      </c>
      <c r="J23" s="16">
        <v>482329.8</v>
      </c>
      <c r="K23" s="16">
        <v>482329.8</v>
      </c>
      <c r="L23" s="16">
        <v>192931.92</v>
      </c>
    </row>
    <row r="24" spans="1:12" ht="12.75">
      <c r="A24" s="43">
        <v>40544</v>
      </c>
      <c r="B24" s="16">
        <v>61982067.09</v>
      </c>
      <c r="C24" s="45">
        <f t="shared" si="0"/>
        <v>56496995.080000006</v>
      </c>
      <c r="D24" s="16">
        <v>5485072.01</v>
      </c>
      <c r="E24" s="17">
        <v>939</v>
      </c>
      <c r="F24" s="16">
        <f>D24/E24/31</f>
        <v>188.43216908859802</v>
      </c>
      <c r="H24" s="16">
        <v>1919775.22</v>
      </c>
      <c r="I24" s="16">
        <v>2248879.52</v>
      </c>
      <c r="J24" s="16">
        <v>548507.2</v>
      </c>
      <c r="K24" s="16">
        <v>548507.2</v>
      </c>
      <c r="L24" s="16">
        <v>219402.87</v>
      </c>
    </row>
    <row r="25" spans="1:12" ht="12.75">
      <c r="A25" s="43">
        <v>40575</v>
      </c>
      <c r="B25" s="16">
        <v>62617270.91</v>
      </c>
      <c r="C25" s="45">
        <f t="shared" si="0"/>
        <v>57199219.29</v>
      </c>
      <c r="D25" s="16">
        <v>5418051.62</v>
      </c>
      <c r="E25" s="17">
        <v>939</v>
      </c>
      <c r="F25" s="16">
        <f>D25/E25/28</f>
        <v>206.07225087479083</v>
      </c>
      <c r="H25" s="16">
        <v>1896318.07</v>
      </c>
      <c r="I25" s="16">
        <v>2221401.14</v>
      </c>
      <c r="J25" s="16">
        <v>541805.19</v>
      </c>
      <c r="K25" s="16">
        <v>541805.19</v>
      </c>
      <c r="L25" s="16">
        <v>216722.08</v>
      </c>
    </row>
    <row r="26" spans="1:12" ht="12.75">
      <c r="A26" s="43">
        <v>40603</v>
      </c>
      <c r="B26" s="16">
        <v>75388126.33</v>
      </c>
      <c r="C26" s="45">
        <f t="shared" si="0"/>
        <v>68886108.23</v>
      </c>
      <c r="D26" s="16">
        <v>6502018.1</v>
      </c>
      <c r="E26" s="17">
        <f>29109/31</f>
        <v>939</v>
      </c>
      <c r="F26" s="16">
        <f>D26/E26/31</f>
        <v>223.36796523412002</v>
      </c>
      <c r="H26" s="16">
        <v>2371448.45</v>
      </c>
      <c r="I26" s="16">
        <v>2665827.42</v>
      </c>
      <c r="J26" s="16">
        <v>650201.83</v>
      </c>
      <c r="K26" s="16">
        <v>650201.83</v>
      </c>
      <c r="L26" s="16">
        <v>164338.59</v>
      </c>
    </row>
    <row r="27" spans="1:12" ht="13.5" thickBot="1">
      <c r="A27" s="3" t="s">
        <v>21</v>
      </c>
      <c r="B27" s="19">
        <f>SUM(B15:B26)</f>
        <v>745236877.1400001</v>
      </c>
      <c r="C27" s="49">
        <f>SUM(C15:C26)</f>
        <v>680343324.3699999</v>
      </c>
      <c r="D27" s="19">
        <f>SUM(D15:D26)</f>
        <v>64893552.769999996</v>
      </c>
      <c r="H27" s="19">
        <f>SUM(H15:H26)</f>
        <v>22589585.53</v>
      </c>
      <c r="I27" s="19">
        <f>SUM(I15:I26)</f>
        <v>26825256.78</v>
      </c>
      <c r="J27" s="19">
        <f>SUM(J15:J26)</f>
        <v>6489355.41</v>
      </c>
      <c r="K27" s="19">
        <f>SUM(K15:K26)</f>
        <v>6489355.007999999</v>
      </c>
      <c r="L27" s="19">
        <f>SUM(L15:L26)</f>
        <v>2499999.9999999995</v>
      </c>
    </row>
    <row r="28" spans="2:12" ht="10.5" customHeight="1" thickTop="1">
      <c r="B28" s="20"/>
      <c r="C28" s="18"/>
      <c r="D28" s="20"/>
      <c r="H28" s="20"/>
      <c r="I28" s="20"/>
      <c r="J28" s="20"/>
      <c r="K28" s="20"/>
      <c r="L28" s="20"/>
    </row>
    <row r="29" spans="1:12" s="23" customFormat="1" ht="12.75">
      <c r="A29" s="21"/>
      <c r="B29" s="22"/>
      <c r="C29" s="50">
        <f>C27/B27</f>
        <v>0.9129222469249743</v>
      </c>
      <c r="D29" s="22">
        <f>D27/B27</f>
        <v>0.08707775307502544</v>
      </c>
      <c r="H29" s="22">
        <f>H27/$D$27</f>
        <v>0.3481021544630712</v>
      </c>
      <c r="I29" s="22">
        <f>I27/$D$27</f>
        <v>0.41337321867822285</v>
      </c>
      <c r="J29" s="22">
        <f>J27/$D$27</f>
        <v>0.10000000204951023</v>
      </c>
      <c r="K29" s="22">
        <f>K27/$D$27</f>
        <v>0.09999999585474999</v>
      </c>
      <c r="L29" s="22">
        <f>L27/$D$27</f>
        <v>0.038524628307232064</v>
      </c>
    </row>
    <row r="31" spans="1:12" s="24" customFormat="1" ht="12.75">
      <c r="A31" s="144" t="s">
        <v>22</v>
      </c>
      <c r="B31" s="145"/>
      <c r="C31" s="145"/>
      <c r="D31" s="145"/>
      <c r="E31" s="145"/>
      <c r="F31" s="145"/>
      <c r="G31" s="145"/>
      <c r="H31" s="145"/>
      <c r="I31" s="145"/>
      <c r="J31" s="145"/>
      <c r="K31" s="145"/>
      <c r="L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2" s="47" customFormat="1" ht="6" customHeight="1">
      <c r="A35" s="26"/>
      <c r="B35" s="44"/>
      <c r="C35" s="27"/>
      <c r="D35" s="45"/>
      <c r="E35" s="27"/>
      <c r="F35" s="27"/>
      <c r="G35" s="27"/>
      <c r="H35" s="27"/>
      <c r="I35" s="44"/>
      <c r="J35" s="44"/>
      <c r="K35" s="44"/>
      <c r="L35" s="44"/>
    </row>
    <row r="36" spans="1:12" s="47" customFormat="1" ht="12.75">
      <c r="A36" s="26" t="s">
        <v>24</v>
      </c>
      <c r="B36" s="44"/>
      <c r="C36" s="27" t="s">
        <v>25</v>
      </c>
      <c r="D36" s="45"/>
      <c r="E36" s="27"/>
      <c r="F36" s="27"/>
      <c r="G36" s="27"/>
      <c r="H36" s="27"/>
      <c r="I36" s="44"/>
      <c r="J36" s="44"/>
      <c r="K36" s="44"/>
      <c r="L36" s="44"/>
    </row>
    <row r="37" spans="1:12" s="47" customFormat="1" ht="6" customHeight="1">
      <c r="A37" s="26"/>
      <c r="B37" s="44"/>
      <c r="C37" s="27"/>
      <c r="D37" s="45"/>
      <c r="E37" s="27"/>
      <c r="F37" s="27"/>
      <c r="G37" s="27"/>
      <c r="H37" s="27"/>
      <c r="I37" s="44"/>
      <c r="J37" s="44"/>
      <c r="K37" s="44"/>
      <c r="L37" s="44"/>
    </row>
    <row r="38" spans="1:12" s="47" customFormat="1" ht="12.75">
      <c r="A38" s="26" t="s">
        <v>26</v>
      </c>
      <c r="B38" s="44"/>
      <c r="C38" s="44" t="s">
        <v>65</v>
      </c>
      <c r="D38" s="45"/>
      <c r="E38" s="46"/>
      <c r="F38" s="44"/>
      <c r="G38" s="44"/>
      <c r="H38" s="44"/>
      <c r="I38" s="44"/>
      <c r="J38" s="44"/>
      <c r="K38" s="44"/>
      <c r="L38" s="44"/>
    </row>
    <row r="39" spans="1:12" s="47" customFormat="1" ht="12.75">
      <c r="A39" s="26"/>
      <c r="B39" s="44"/>
      <c r="C39" s="44" t="s">
        <v>66</v>
      </c>
      <c r="D39" s="45"/>
      <c r="E39" s="46"/>
      <c r="F39" s="44"/>
      <c r="G39" s="44"/>
      <c r="H39" s="44"/>
      <c r="I39" s="44"/>
      <c r="J39" s="44"/>
      <c r="K39" s="44"/>
      <c r="L39" s="44"/>
    </row>
    <row r="40" spans="1:12" s="47" customFormat="1" ht="6" customHeight="1">
      <c r="A40" s="26"/>
      <c r="B40" s="44"/>
      <c r="C40" s="44"/>
      <c r="D40" s="45"/>
      <c r="E40" s="46"/>
      <c r="F40" s="44"/>
      <c r="G40" s="44"/>
      <c r="H40" s="44"/>
      <c r="I40" s="44"/>
      <c r="J40" s="44"/>
      <c r="K40" s="44"/>
      <c r="L40" s="44"/>
    </row>
    <row r="41" spans="1:12" s="47" customFormat="1" ht="12.75">
      <c r="A41" s="26" t="s">
        <v>29</v>
      </c>
      <c r="B41" s="44"/>
      <c r="C41" s="44" t="s">
        <v>30</v>
      </c>
      <c r="D41" s="45"/>
      <c r="E41" s="46"/>
      <c r="F41" s="44"/>
      <c r="G41" s="44"/>
      <c r="H41" s="44"/>
      <c r="I41" s="44"/>
      <c r="J41" s="44"/>
      <c r="K41" s="44"/>
      <c r="L41" s="44"/>
    </row>
    <row r="42" spans="1:12" s="47" customFormat="1" ht="6" customHeight="1">
      <c r="A42" s="26"/>
      <c r="B42" s="44"/>
      <c r="C42" s="44"/>
      <c r="D42" s="45"/>
      <c r="E42" s="46"/>
      <c r="F42" s="44"/>
      <c r="G42" s="44"/>
      <c r="H42" s="44"/>
      <c r="I42" s="44"/>
      <c r="J42" s="44"/>
      <c r="K42" s="44"/>
      <c r="L42" s="44"/>
    </row>
    <row r="43" spans="1:12" s="47" customFormat="1" ht="12.75">
      <c r="A43" s="26" t="s">
        <v>76</v>
      </c>
      <c r="B43" s="44"/>
      <c r="C43" s="44" t="s">
        <v>77</v>
      </c>
      <c r="D43" s="45"/>
      <c r="E43" s="46"/>
      <c r="F43" s="44"/>
      <c r="G43" s="44"/>
      <c r="H43" s="44"/>
      <c r="I43" s="44"/>
      <c r="J43" s="44"/>
      <c r="K43" s="44"/>
      <c r="L43" s="44"/>
    </row>
    <row r="44" spans="1:12" s="47" customFormat="1" ht="12.75">
      <c r="A44" s="26"/>
      <c r="B44" s="44"/>
      <c r="C44" s="44" t="s">
        <v>85</v>
      </c>
      <c r="D44" s="45"/>
      <c r="E44" s="46"/>
      <c r="F44" s="44"/>
      <c r="G44" s="44"/>
      <c r="H44" s="44"/>
      <c r="I44" s="44"/>
      <c r="J44" s="44"/>
      <c r="K44" s="44"/>
      <c r="L44" s="44"/>
    </row>
    <row r="45" spans="1:12" s="47" customFormat="1" ht="12.75">
      <c r="A45" s="26"/>
      <c r="B45" s="44"/>
      <c r="C45" s="44" t="s">
        <v>86</v>
      </c>
      <c r="D45" s="45"/>
      <c r="E45" s="46"/>
      <c r="F45" s="44"/>
      <c r="G45" s="44"/>
      <c r="H45" s="44"/>
      <c r="I45" s="44"/>
      <c r="J45" s="44"/>
      <c r="K45" s="44"/>
      <c r="L45" s="44"/>
    </row>
    <row r="46" spans="1:12" s="47" customFormat="1" ht="6" customHeight="1">
      <c r="A46" s="26"/>
      <c r="B46" s="44"/>
      <c r="C46" s="44"/>
      <c r="D46" s="45"/>
      <c r="E46" s="46"/>
      <c r="F46" s="44"/>
      <c r="G46" s="44"/>
      <c r="H46" s="44"/>
      <c r="I46" s="44"/>
      <c r="J46" s="44"/>
      <c r="K46" s="44"/>
      <c r="L46" s="44"/>
    </row>
    <row r="47" spans="1:12" s="47" customFormat="1" ht="12.75">
      <c r="A47" s="26" t="s">
        <v>31</v>
      </c>
      <c r="B47" s="44"/>
      <c r="C47" s="44" t="s">
        <v>78</v>
      </c>
      <c r="D47" s="45"/>
      <c r="E47" s="46"/>
      <c r="F47" s="44"/>
      <c r="G47" s="44"/>
      <c r="H47" s="44"/>
      <c r="I47" s="44"/>
      <c r="J47" s="44"/>
      <c r="K47" s="44"/>
      <c r="L47" s="44"/>
    </row>
    <row r="48" spans="1:12" s="47" customFormat="1" ht="12.75">
      <c r="A48" s="26"/>
      <c r="B48" s="44"/>
      <c r="C48" s="44" t="s">
        <v>79</v>
      </c>
      <c r="D48" s="45"/>
      <c r="E48" s="46"/>
      <c r="F48" s="44"/>
      <c r="G48" s="44"/>
      <c r="H48" s="44"/>
      <c r="I48" s="44"/>
      <c r="J48" s="44"/>
      <c r="K48" s="44"/>
      <c r="L48" s="44"/>
    </row>
    <row r="49" spans="1:12" s="47" customFormat="1" ht="6" customHeight="1">
      <c r="A49" s="26"/>
      <c r="B49" s="44"/>
      <c r="C49" s="44"/>
      <c r="D49" s="45"/>
      <c r="E49" s="46"/>
      <c r="F49" s="44"/>
      <c r="G49" s="44"/>
      <c r="H49" s="44"/>
      <c r="I49" s="44"/>
      <c r="J49" s="44"/>
      <c r="K49" s="44"/>
      <c r="L49" s="44"/>
    </row>
    <row r="50" spans="1:12" s="47" customFormat="1" ht="12.75">
      <c r="A50" s="26" t="s">
        <v>88</v>
      </c>
      <c r="B50" s="44"/>
      <c r="C50" s="44" t="s">
        <v>80</v>
      </c>
      <c r="D50" s="45"/>
      <c r="E50" s="46"/>
      <c r="F50" s="44"/>
      <c r="G50" s="44"/>
      <c r="H50" s="44"/>
      <c r="I50" s="44"/>
      <c r="J50" s="44"/>
      <c r="K50" s="44"/>
      <c r="L50" s="44"/>
    </row>
    <row r="51" spans="1:12" s="47" customFormat="1" ht="12.75">
      <c r="A51" s="29"/>
      <c r="B51" s="44"/>
      <c r="C51" s="44" t="s">
        <v>81</v>
      </c>
      <c r="D51" s="45"/>
      <c r="E51" s="46"/>
      <c r="F51" s="44"/>
      <c r="G51" s="44"/>
      <c r="H51" s="44"/>
      <c r="I51" s="44"/>
      <c r="J51" s="44"/>
      <c r="K51" s="44"/>
      <c r="L51" s="44"/>
    </row>
    <row r="52" spans="1:12" s="47" customFormat="1" ht="6" customHeight="1">
      <c r="A52" s="30"/>
      <c r="B52" s="52"/>
      <c r="C52" s="52"/>
      <c r="D52" s="52"/>
      <c r="E52" s="53"/>
      <c r="F52" s="52"/>
      <c r="G52" s="52"/>
      <c r="H52" s="52"/>
      <c r="I52" s="52"/>
      <c r="J52" s="52"/>
      <c r="K52" s="52"/>
      <c r="L52" s="52"/>
    </row>
    <row r="53" spans="1:12" s="47" customFormat="1" ht="12.75">
      <c r="A53" s="26" t="s">
        <v>53</v>
      </c>
      <c r="B53" s="44"/>
      <c r="C53" s="44" t="s">
        <v>67</v>
      </c>
      <c r="D53" s="45"/>
      <c r="E53" s="46"/>
      <c r="F53" s="44"/>
      <c r="G53" s="44"/>
      <c r="H53" s="44"/>
      <c r="I53" s="44"/>
      <c r="J53" s="44"/>
      <c r="K53" s="44"/>
      <c r="L53" s="45"/>
    </row>
    <row r="54" spans="1:12" s="47" customFormat="1" ht="12.75">
      <c r="A54" s="29"/>
      <c r="B54" s="44"/>
      <c r="C54" s="44" t="s">
        <v>68</v>
      </c>
      <c r="D54" s="45"/>
      <c r="E54" s="46"/>
      <c r="F54" s="44"/>
      <c r="G54" s="44"/>
      <c r="H54" s="44"/>
      <c r="I54" s="44"/>
      <c r="J54" s="44"/>
      <c r="K54" s="44"/>
      <c r="L54" s="45"/>
    </row>
    <row r="55" spans="1:12" s="47" customFormat="1" ht="12.75">
      <c r="A55" s="29"/>
      <c r="B55" s="44"/>
      <c r="C55" s="44" t="s">
        <v>69</v>
      </c>
      <c r="D55" s="45"/>
      <c r="E55" s="46"/>
      <c r="F55" s="44"/>
      <c r="G55" s="44"/>
      <c r="H55" s="44"/>
      <c r="I55" s="44"/>
      <c r="J55" s="44"/>
      <c r="K55" s="44"/>
      <c r="L55" s="45"/>
    </row>
    <row r="56" spans="1:12" ht="12.75">
      <c r="A56" s="30"/>
      <c r="B56" s="31"/>
      <c r="C56" s="44"/>
      <c r="D56" s="31"/>
      <c r="E56" s="32"/>
      <c r="F56" s="31"/>
      <c r="G56" s="31"/>
      <c r="H56" s="31"/>
      <c r="I56" s="31"/>
      <c r="J56" s="31"/>
      <c r="K56" s="31"/>
      <c r="L56" s="31"/>
    </row>
    <row r="57" spans="1:12" s="24" customFormat="1" ht="12.75">
      <c r="A57" s="144" t="s">
        <v>32</v>
      </c>
      <c r="B57" s="145"/>
      <c r="C57" s="145"/>
      <c r="D57" s="145"/>
      <c r="E57" s="145"/>
      <c r="F57" s="145"/>
      <c r="G57" s="145"/>
      <c r="H57" s="145"/>
      <c r="I57" s="145"/>
      <c r="J57" s="145"/>
      <c r="K57" s="145"/>
      <c r="L57" s="146"/>
    </row>
    <row r="58" ht="12.75">
      <c r="A58" s="25"/>
    </row>
    <row r="59" spans="1:12" ht="13.5">
      <c r="A59" s="33"/>
      <c r="F59" s="10" t="s">
        <v>10</v>
      </c>
      <c r="G59" s="34"/>
      <c r="H59" s="10" t="s">
        <v>82</v>
      </c>
      <c r="I59" s="10" t="s">
        <v>11</v>
      </c>
      <c r="J59" s="10" t="s">
        <v>83</v>
      </c>
      <c r="K59" s="10" t="s">
        <v>51</v>
      </c>
      <c r="L59" s="35"/>
    </row>
    <row r="60" spans="1:12" ht="12.75">
      <c r="A60" s="36"/>
      <c r="F60" s="8" t="s">
        <v>18</v>
      </c>
      <c r="G60" s="37"/>
      <c r="H60" s="8" t="s">
        <v>19</v>
      </c>
      <c r="I60" s="8" t="s">
        <v>20</v>
      </c>
      <c r="J60" s="8" t="s">
        <v>84</v>
      </c>
      <c r="K60" s="8" t="s">
        <v>52</v>
      </c>
      <c r="L60" s="35"/>
    </row>
    <row r="61" spans="2:12" ht="12.75">
      <c r="B61" s="40" t="s">
        <v>61</v>
      </c>
      <c r="C61" s="40"/>
      <c r="D61" s="27"/>
      <c r="E61" s="28"/>
      <c r="F61" s="41">
        <v>0.35</v>
      </c>
      <c r="G61" s="27"/>
      <c r="H61" s="41">
        <v>0.41</v>
      </c>
      <c r="I61" s="41">
        <v>0.1</v>
      </c>
      <c r="J61" s="41">
        <v>0.1</v>
      </c>
      <c r="K61" s="41">
        <v>0.04</v>
      </c>
      <c r="L61" s="39"/>
    </row>
    <row r="62" spans="2:12" ht="12.75">
      <c r="B62" s="40" t="s">
        <v>62</v>
      </c>
      <c r="C62" s="40"/>
      <c r="D62" s="27"/>
      <c r="E62" s="28"/>
      <c r="F62" s="41">
        <v>0.39</v>
      </c>
      <c r="G62" s="27"/>
      <c r="H62" s="41">
        <v>0.41</v>
      </c>
      <c r="I62" s="41">
        <v>0.1</v>
      </c>
      <c r="J62" s="41">
        <v>0.1</v>
      </c>
      <c r="K62" s="41">
        <v>0</v>
      </c>
      <c r="L62" s="39"/>
    </row>
    <row r="63" spans="2:12" ht="12.75">
      <c r="B63" s="40" t="s">
        <v>59</v>
      </c>
      <c r="C63" s="40"/>
      <c r="D63" s="27"/>
      <c r="E63" s="28"/>
      <c r="F63" s="41">
        <v>0.41</v>
      </c>
      <c r="G63" s="27"/>
      <c r="H63" s="41">
        <v>0.41</v>
      </c>
      <c r="I63" s="41">
        <v>0.08</v>
      </c>
      <c r="J63" s="41">
        <v>0.1</v>
      </c>
      <c r="K63" s="41">
        <v>0</v>
      </c>
      <c r="L63" s="39"/>
    </row>
    <row r="64" spans="2:12" ht="12.75">
      <c r="B64" s="40"/>
      <c r="C64" s="40"/>
      <c r="D64" s="27"/>
      <c r="E64" s="28"/>
      <c r="F64" s="41"/>
      <c r="G64" s="27"/>
      <c r="H64" s="41"/>
      <c r="I64" s="41"/>
      <c r="J64" s="41"/>
      <c r="K64" s="41"/>
      <c r="L64" s="39"/>
    </row>
    <row r="65" spans="1:12" s="54" customFormat="1" ht="12.75">
      <c r="A65" s="55" t="s">
        <v>72</v>
      </c>
      <c r="B65" s="40"/>
      <c r="C65" s="40"/>
      <c r="D65" s="44"/>
      <c r="E65" s="46"/>
      <c r="F65" s="41"/>
      <c r="G65" s="44"/>
      <c r="H65" s="41"/>
      <c r="I65" s="41"/>
      <c r="J65" s="41"/>
      <c r="K65" s="41"/>
      <c r="L65" s="39"/>
    </row>
    <row r="66" spans="1:12" s="54" customFormat="1" ht="12.75">
      <c r="A66" s="55" t="s">
        <v>73</v>
      </c>
      <c r="B66" s="40"/>
      <c r="C66" s="40"/>
      <c r="D66" s="44"/>
      <c r="E66" s="46"/>
      <c r="F66" s="41"/>
      <c r="G66" s="44"/>
      <c r="H66" s="41"/>
      <c r="I66" s="41"/>
      <c r="J66" s="41"/>
      <c r="K66" s="41"/>
      <c r="L66" s="39"/>
    </row>
    <row r="67" ht="12.75">
      <c r="A67" s="25"/>
    </row>
    <row r="68" spans="1:12" s="24" customFormat="1" ht="12.75">
      <c r="A68" s="147" t="s">
        <v>46</v>
      </c>
      <c r="B68" s="148"/>
      <c r="C68" s="148"/>
      <c r="D68" s="148"/>
      <c r="E68" s="148"/>
      <c r="F68" s="148"/>
      <c r="G68" s="148"/>
      <c r="H68" s="148"/>
      <c r="I68" s="148"/>
      <c r="J68" s="148"/>
      <c r="K68" s="148"/>
      <c r="L68" s="149"/>
    </row>
    <row r="69" spans="1:5" ht="12.75">
      <c r="A69" s="25"/>
      <c r="D69"/>
      <c r="E69" s="16"/>
    </row>
    <row r="70" spans="1:12" ht="51.75" customHeight="1">
      <c r="A70" s="151" t="s">
        <v>87</v>
      </c>
      <c r="B70" s="151"/>
      <c r="C70" s="151"/>
      <c r="D70" s="151"/>
      <c r="E70" s="151"/>
      <c r="F70" s="151"/>
      <c r="G70" s="151"/>
      <c r="H70" s="151"/>
      <c r="I70" s="151"/>
      <c r="J70" s="151"/>
      <c r="K70" s="151"/>
      <c r="L70" s="151"/>
    </row>
    <row r="71" spans="1:5" ht="12.75">
      <c r="A71" s="16"/>
      <c r="D71"/>
      <c r="E71" s="16"/>
    </row>
    <row r="72" spans="2:4" ht="12.75">
      <c r="B72" s="25" t="s">
        <v>47</v>
      </c>
      <c r="C72" s="25"/>
      <c r="D72" s="16">
        <f>1236683*0.9</f>
        <v>1113014.7</v>
      </c>
    </row>
    <row r="73" spans="2:4" ht="12.75">
      <c r="B73" s="25" t="s">
        <v>48</v>
      </c>
      <c r="C73" s="25"/>
      <c r="D73" s="16">
        <f>412228*0.9</f>
        <v>371005.2</v>
      </c>
    </row>
    <row r="74" spans="2:4" ht="12.75">
      <c r="B74" s="16" t="s">
        <v>33</v>
      </c>
      <c r="D74" s="16" t="s">
        <v>33</v>
      </c>
    </row>
    <row r="75" ht="12.75">
      <c r="D75" s="16" t="s">
        <v>33</v>
      </c>
    </row>
    <row r="76" ht="12.75">
      <c r="A76" s="25" t="s">
        <v>35</v>
      </c>
    </row>
  </sheetData>
  <sheetProtection/>
  <mergeCells count="11">
    <mergeCell ref="A70:L70"/>
    <mergeCell ref="A31:L31"/>
    <mergeCell ref="A57:L57"/>
    <mergeCell ref="H10:L10"/>
    <mergeCell ref="A8:L8"/>
    <mergeCell ref="A1:L1"/>
    <mergeCell ref="A2:L2"/>
    <mergeCell ref="A3:L3"/>
    <mergeCell ref="A4:L4"/>
    <mergeCell ref="A5:L5"/>
    <mergeCell ref="A68:L68"/>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74"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1">
      <selection activeCell="B29" sqref="B29"/>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8" width="13.00390625" style="16" customWidth="1"/>
    <col min="9" max="9" width="13.28125" style="16" customWidth="1"/>
    <col min="10" max="10" width="14.140625" style="16" customWidth="1"/>
    <col min="11" max="11" width="14.28125" style="16" customWidth="1"/>
    <col min="12" max="12" width="12.140625" style="16" customWidth="1"/>
    <col min="13" max="13" width="12.7109375" style="0" customWidth="1"/>
  </cols>
  <sheetData>
    <row r="1" spans="1:12" ht="18">
      <c r="A1" s="152" t="s">
        <v>0</v>
      </c>
      <c r="B1" s="152"/>
      <c r="C1" s="152"/>
      <c r="D1" s="152"/>
      <c r="E1" s="152"/>
      <c r="F1" s="152"/>
      <c r="G1" s="152"/>
      <c r="H1" s="152"/>
      <c r="I1" s="152"/>
      <c r="J1" s="152"/>
      <c r="K1" s="152"/>
      <c r="L1" s="152"/>
    </row>
    <row r="2" spans="1:12" ht="15">
      <c r="A2" s="153" t="s">
        <v>1</v>
      </c>
      <c r="B2" s="153"/>
      <c r="C2" s="153"/>
      <c r="D2" s="153"/>
      <c r="E2" s="153"/>
      <c r="F2" s="153"/>
      <c r="G2" s="153"/>
      <c r="H2" s="153"/>
      <c r="I2" s="153"/>
      <c r="J2" s="153"/>
      <c r="K2" s="153"/>
      <c r="L2" s="153"/>
    </row>
    <row r="3" spans="1:12" s="1" customFormat="1" ht="15">
      <c r="A3" s="153" t="s">
        <v>2</v>
      </c>
      <c r="B3" s="153"/>
      <c r="C3" s="153"/>
      <c r="D3" s="153"/>
      <c r="E3" s="153"/>
      <c r="F3" s="153"/>
      <c r="G3" s="153"/>
      <c r="H3" s="153"/>
      <c r="I3" s="153"/>
      <c r="J3" s="153"/>
      <c r="K3" s="153"/>
      <c r="L3" s="153"/>
    </row>
    <row r="4" spans="1:12" s="1" customFormat="1" ht="14.25">
      <c r="A4" s="138" t="s">
        <v>3</v>
      </c>
      <c r="B4" s="139"/>
      <c r="C4" s="139"/>
      <c r="D4" s="139"/>
      <c r="E4" s="139"/>
      <c r="F4" s="139"/>
      <c r="G4" s="139"/>
      <c r="H4" s="139"/>
      <c r="I4" s="139"/>
      <c r="J4" s="139"/>
      <c r="K4" s="139"/>
      <c r="L4" s="139"/>
    </row>
    <row r="5" spans="1:12" s="1" customFormat="1" ht="14.25">
      <c r="A5" s="154" t="s">
        <v>4</v>
      </c>
      <c r="B5" s="154"/>
      <c r="C5" s="154"/>
      <c r="D5" s="154"/>
      <c r="E5" s="154"/>
      <c r="F5" s="154"/>
      <c r="G5" s="154"/>
      <c r="H5" s="154"/>
      <c r="I5" s="154"/>
      <c r="J5" s="154"/>
      <c r="K5" s="154"/>
      <c r="L5" s="154"/>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144" t="s">
        <v>63</v>
      </c>
      <c r="B8" s="145"/>
      <c r="C8" s="145"/>
      <c r="D8" s="145"/>
      <c r="E8" s="145"/>
      <c r="F8" s="145"/>
      <c r="G8" s="145"/>
      <c r="H8" s="145"/>
      <c r="I8" s="145"/>
      <c r="J8" s="145"/>
      <c r="K8" s="145"/>
      <c r="L8" s="146"/>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143" t="s">
        <v>6</v>
      </c>
      <c r="I10" s="143"/>
      <c r="J10" s="143"/>
      <c r="K10" s="143"/>
      <c r="L10" s="143"/>
    </row>
    <row r="11" spans="1:12" s="1" customFormat="1" ht="12.75">
      <c r="A11" s="3"/>
      <c r="B11" s="5"/>
      <c r="C11" s="48"/>
      <c r="D11" s="5"/>
      <c r="E11" s="6"/>
      <c r="F11" s="5"/>
      <c r="G11" s="5"/>
      <c r="H11" s="5"/>
      <c r="I11" s="5"/>
      <c r="J11" s="5"/>
      <c r="K11" s="5"/>
      <c r="L11" s="5"/>
    </row>
    <row r="12" spans="1:12" s="12" customFormat="1" ht="12">
      <c r="A12" s="9"/>
      <c r="B12" s="10" t="s">
        <v>7</v>
      </c>
      <c r="C12" s="10" t="s">
        <v>7</v>
      </c>
      <c r="D12" s="10"/>
      <c r="E12" s="11" t="s">
        <v>8</v>
      </c>
      <c r="F12" s="10" t="s">
        <v>9</v>
      </c>
      <c r="G12" s="10"/>
      <c r="H12" s="10" t="s">
        <v>10</v>
      </c>
      <c r="I12" s="10" t="s">
        <v>82</v>
      </c>
      <c r="J12" s="10" t="s">
        <v>11</v>
      </c>
      <c r="K12" s="10" t="s">
        <v>83</v>
      </c>
      <c r="L12" s="10" t="s">
        <v>51</v>
      </c>
    </row>
    <row r="13" spans="1:12" s="12" customFormat="1" ht="12">
      <c r="A13" s="13" t="s">
        <v>12</v>
      </c>
      <c r="B13" s="8" t="s">
        <v>13</v>
      </c>
      <c r="C13" s="8" t="s">
        <v>14</v>
      </c>
      <c r="D13" s="8" t="s">
        <v>15</v>
      </c>
      <c r="E13" s="14" t="s">
        <v>16</v>
      </c>
      <c r="F13" s="8" t="s">
        <v>17</v>
      </c>
      <c r="G13" s="15"/>
      <c r="H13" s="8" t="s">
        <v>18</v>
      </c>
      <c r="I13" s="8" t="s">
        <v>19</v>
      </c>
      <c r="J13" s="8" t="s">
        <v>20</v>
      </c>
      <c r="K13" s="8" t="s">
        <v>84</v>
      </c>
      <c r="L13" s="8" t="s">
        <v>52</v>
      </c>
    </row>
    <row r="14" ht="12.75">
      <c r="C14" s="45"/>
    </row>
    <row r="15" spans="1:12" ht="12.75">
      <c r="A15" s="43">
        <v>39904</v>
      </c>
      <c r="B15" s="16">
        <v>54077496.31</v>
      </c>
      <c r="C15" s="45">
        <f aca="true" t="shared" si="0" ref="C15:C26">+B15-D15</f>
        <v>49259467.32</v>
      </c>
      <c r="D15" s="16">
        <v>4818028.99</v>
      </c>
      <c r="E15" s="17">
        <v>959</v>
      </c>
      <c r="F15" s="16">
        <f>D15/E15/30</f>
        <v>167.46711817865835</v>
      </c>
      <c r="H15" s="16">
        <v>1638129.9</v>
      </c>
      <c r="I15" s="16">
        <v>2023572.17</v>
      </c>
      <c r="J15" s="16">
        <v>481802.91</v>
      </c>
      <c r="K15" s="16">
        <v>481802.91</v>
      </c>
      <c r="L15" s="16">
        <v>192721.18</v>
      </c>
    </row>
    <row r="16" spans="1:12" ht="12.75">
      <c r="A16" s="43">
        <v>39934</v>
      </c>
      <c r="B16" s="16">
        <v>58687562.48</v>
      </c>
      <c r="C16" s="45">
        <f t="shared" si="0"/>
        <v>53513512.449999996</v>
      </c>
      <c r="D16" s="16">
        <v>5174050.03</v>
      </c>
      <c r="E16" s="17">
        <v>959</v>
      </c>
      <c r="F16" s="16">
        <f>D16/E16/31</f>
        <v>174.04050018500456</v>
      </c>
      <c r="H16" s="16">
        <v>1759177.06</v>
      </c>
      <c r="I16" s="16">
        <v>2173101.02</v>
      </c>
      <c r="J16" s="16">
        <v>517404.99</v>
      </c>
      <c r="K16" s="16">
        <v>517404.99</v>
      </c>
      <c r="L16" s="16">
        <v>206962</v>
      </c>
    </row>
    <row r="17" spans="1:12" ht="12.75">
      <c r="A17" s="43">
        <v>39965</v>
      </c>
      <c r="B17" s="16">
        <v>54720656.25</v>
      </c>
      <c r="C17" s="45">
        <f t="shared" si="0"/>
        <v>49978345.9</v>
      </c>
      <c r="D17" s="16">
        <v>4742310.35</v>
      </c>
      <c r="E17" s="17">
        <v>959</v>
      </c>
      <c r="F17" s="16">
        <f>D17/E17/30</f>
        <v>164.835257212374</v>
      </c>
      <c r="H17" s="16">
        <v>1612385.55</v>
      </c>
      <c r="I17" s="16">
        <v>1991770.34</v>
      </c>
      <c r="J17" s="16">
        <v>474231.05</v>
      </c>
      <c r="K17" s="16">
        <v>474231.05</v>
      </c>
      <c r="L17" s="16">
        <v>189692.42</v>
      </c>
    </row>
    <row r="18" spans="1:12" ht="12.75">
      <c r="A18" s="43">
        <v>39995</v>
      </c>
      <c r="B18" s="16">
        <v>59784481.91</v>
      </c>
      <c r="C18" s="45">
        <f t="shared" si="0"/>
        <v>54554714.08</v>
      </c>
      <c r="D18" s="16">
        <v>5229767.83</v>
      </c>
      <c r="E18" s="17">
        <v>959</v>
      </c>
      <c r="F18" s="16">
        <f>D18/E18/31</f>
        <v>175.9146903696727</v>
      </c>
      <c r="H18" s="16">
        <v>1778121.08</v>
      </c>
      <c r="I18" s="16">
        <v>2196502.46</v>
      </c>
      <c r="J18" s="16">
        <v>522976.78</v>
      </c>
      <c r="K18" s="16">
        <v>522976.78</v>
      </c>
      <c r="L18" s="16">
        <v>209190.74</v>
      </c>
    </row>
    <row r="19" spans="1:12" ht="12.75">
      <c r="A19" s="43">
        <v>40026</v>
      </c>
      <c r="B19" s="16">
        <v>46132252.35</v>
      </c>
      <c r="C19" s="45">
        <f t="shared" si="0"/>
        <v>42142539.61</v>
      </c>
      <c r="D19" s="16">
        <v>3989712.74</v>
      </c>
      <c r="E19" s="17">
        <v>959</v>
      </c>
      <c r="F19" s="16">
        <f>D19/E19/31</f>
        <v>134.20272259410004</v>
      </c>
      <c r="H19" s="16">
        <v>1356502.43</v>
      </c>
      <c r="I19" s="16">
        <v>1675679.38</v>
      </c>
      <c r="J19" s="16">
        <v>398971.3</v>
      </c>
      <c r="K19" s="16">
        <v>398971.3</v>
      </c>
      <c r="L19" s="16">
        <v>159588.48</v>
      </c>
    </row>
    <row r="20" spans="1:12" ht="12.75">
      <c r="A20" s="43">
        <v>40057</v>
      </c>
      <c r="B20" s="16">
        <v>50986413.68</v>
      </c>
      <c r="C20" s="45">
        <f t="shared" si="0"/>
        <v>46516749.43</v>
      </c>
      <c r="D20" s="16">
        <v>4469664.25</v>
      </c>
      <c r="E20" s="17">
        <v>959</v>
      </c>
      <c r="F20" s="16">
        <f>D20/E20/30</f>
        <v>155.35850712547793</v>
      </c>
      <c r="H20" s="16">
        <v>1519685.88</v>
      </c>
      <c r="I20" s="16">
        <v>1877258.99</v>
      </c>
      <c r="J20" s="16">
        <v>446966.47</v>
      </c>
      <c r="K20" s="16">
        <v>446966.47</v>
      </c>
      <c r="L20" s="16">
        <v>178786.58</v>
      </c>
    </row>
    <row r="21" spans="1:12" ht="12.75">
      <c r="A21" s="43">
        <v>40087</v>
      </c>
      <c r="B21" s="16">
        <v>51951268.15</v>
      </c>
      <c r="C21" s="45">
        <f t="shared" si="0"/>
        <v>47388570.71</v>
      </c>
      <c r="D21" s="16">
        <v>4562697.44</v>
      </c>
      <c r="E21" s="17">
        <v>959</v>
      </c>
      <c r="F21" s="16">
        <f>D21/E21/31</f>
        <v>153.47631740051804</v>
      </c>
      <c r="H21" s="16">
        <v>1551317.19</v>
      </c>
      <c r="I21" s="16">
        <v>1916332.9</v>
      </c>
      <c r="J21" s="16">
        <v>456269.76</v>
      </c>
      <c r="K21" s="16">
        <v>456269.76</v>
      </c>
      <c r="L21" s="16">
        <v>182507.89</v>
      </c>
    </row>
    <row r="22" spans="1:12" ht="12.75">
      <c r="A22" s="43">
        <v>40118</v>
      </c>
      <c r="B22" s="16">
        <v>48935528.41</v>
      </c>
      <c r="C22" s="45">
        <f t="shared" si="0"/>
        <v>44519863.33</v>
      </c>
      <c r="D22" s="16">
        <v>4415665.08</v>
      </c>
      <c r="E22" s="17">
        <v>959</v>
      </c>
      <c r="F22" s="16">
        <f>D22/E22/30</f>
        <v>153.48158081334722</v>
      </c>
      <c r="H22" s="16">
        <v>1501326.18</v>
      </c>
      <c r="I22" s="16">
        <v>1854579.35</v>
      </c>
      <c r="J22" s="16">
        <v>441566.51</v>
      </c>
      <c r="K22" s="16">
        <v>441566.51</v>
      </c>
      <c r="L22" s="16">
        <v>176626.59</v>
      </c>
    </row>
    <row r="23" spans="1:12" ht="12.75">
      <c r="A23" s="43">
        <v>40148</v>
      </c>
      <c r="B23" s="16">
        <v>46507152.17</v>
      </c>
      <c r="C23" s="45">
        <f t="shared" si="0"/>
        <v>42399090.620000005</v>
      </c>
      <c r="D23" s="16">
        <v>4108061.55</v>
      </c>
      <c r="E23" s="17">
        <v>959</v>
      </c>
      <c r="F23" s="16">
        <f>D23/E23/31</f>
        <v>138.18364391671432</v>
      </c>
      <c r="H23" s="16">
        <v>1396740.92</v>
      </c>
      <c r="I23" s="16">
        <v>1725385.87</v>
      </c>
      <c r="J23" s="16">
        <v>410806.19</v>
      </c>
      <c r="K23" s="16">
        <v>410809.19</v>
      </c>
      <c r="L23" s="16">
        <v>164322.44</v>
      </c>
    </row>
    <row r="24" spans="1:12" ht="12.75">
      <c r="A24" s="43">
        <v>40179</v>
      </c>
      <c r="B24" s="16">
        <v>49874986.9</v>
      </c>
      <c r="C24" s="45">
        <f t="shared" si="0"/>
        <v>45405713.81</v>
      </c>
      <c r="D24" s="16">
        <v>4469273.09</v>
      </c>
      <c r="E24" s="17">
        <v>959</v>
      </c>
      <c r="F24" s="16">
        <f>D24/E24/31</f>
        <v>150.33378485653736</v>
      </c>
      <c r="H24" s="16">
        <v>1519552.82</v>
      </c>
      <c r="I24" s="16">
        <v>1877094.7</v>
      </c>
      <c r="J24" s="16">
        <v>446927.34</v>
      </c>
      <c r="K24" s="16">
        <v>446927.34</v>
      </c>
      <c r="L24" s="16">
        <v>178770.93</v>
      </c>
    </row>
    <row r="25" spans="1:12" ht="12.75">
      <c r="A25" s="43">
        <v>40210</v>
      </c>
      <c r="B25" s="16">
        <v>51089006.64</v>
      </c>
      <c r="C25" s="45">
        <f t="shared" si="0"/>
        <v>46519194.42</v>
      </c>
      <c r="D25" s="16">
        <v>4569812.22</v>
      </c>
      <c r="E25" s="17">
        <v>959</v>
      </c>
      <c r="F25" s="16">
        <f>D25/E25/28</f>
        <v>170.18517130939966</v>
      </c>
      <c r="H25" s="16">
        <v>1553736.16</v>
      </c>
      <c r="I25" s="16">
        <v>1919321.14</v>
      </c>
      <c r="J25" s="16">
        <v>456981.23</v>
      </c>
      <c r="K25" s="16">
        <v>456981.23</v>
      </c>
      <c r="L25" s="16">
        <v>182792.46</v>
      </c>
    </row>
    <row r="26" spans="1:12" ht="12.75">
      <c r="A26" s="43">
        <v>40238</v>
      </c>
      <c r="B26" s="16">
        <v>58126572.95</v>
      </c>
      <c r="C26" s="45">
        <f t="shared" si="0"/>
        <v>53007868.88</v>
      </c>
      <c r="D26" s="16">
        <v>5118704.07</v>
      </c>
      <c r="E26" s="17">
        <v>959</v>
      </c>
      <c r="F26" s="16">
        <f>D26/E26/31</f>
        <v>172.17881765279694</v>
      </c>
      <c r="H26" s="16">
        <v>1740359.41</v>
      </c>
      <c r="I26" s="16">
        <v>2149855.7</v>
      </c>
      <c r="J26" s="16">
        <v>511870.42</v>
      </c>
      <c r="K26" s="16">
        <v>511870.42</v>
      </c>
      <c r="L26" s="16">
        <v>204748.18</v>
      </c>
    </row>
    <row r="27" spans="1:12" ht="13.5" thickBot="1">
      <c r="A27" s="3" t="s">
        <v>21</v>
      </c>
      <c r="B27" s="19">
        <f>SUM(B15:B26)</f>
        <v>630873378.2</v>
      </c>
      <c r="C27" s="49">
        <f>SUM(C15:C26)</f>
        <v>575205630.5600001</v>
      </c>
      <c r="D27" s="19">
        <f>SUM(D15:D26)</f>
        <v>55667747.63999999</v>
      </c>
      <c r="H27" s="19">
        <f>SUM(H15:H26)</f>
        <v>18927034.58</v>
      </c>
      <c r="I27" s="19">
        <f>SUM(I15:I26)</f>
        <v>23380454.02</v>
      </c>
      <c r="J27" s="19">
        <f>SUM(J15:J26)</f>
        <v>5566774.949999999</v>
      </c>
      <c r="K27" s="19">
        <f>SUM(K15:K26)</f>
        <v>5566777.949999999</v>
      </c>
      <c r="L27" s="19">
        <f>SUM(L15:L26)</f>
        <v>2226709.89</v>
      </c>
    </row>
    <row r="28" spans="2:12" ht="10.5" customHeight="1" thickTop="1">
      <c r="B28" s="20"/>
      <c r="C28" s="18"/>
      <c r="D28" s="20"/>
      <c r="H28" s="20"/>
      <c r="I28" s="20"/>
      <c r="J28" s="20"/>
      <c r="K28" s="20"/>
      <c r="L28" s="20"/>
    </row>
    <row r="29" spans="1:12" s="23" customFormat="1" ht="12.75">
      <c r="A29" s="21"/>
      <c r="B29" s="22"/>
      <c r="C29" s="50">
        <f>C27/B27</f>
        <v>0.9117608230690752</v>
      </c>
      <c r="D29" s="22">
        <f>D27/B27</f>
        <v>0.08823917693092473</v>
      </c>
      <c r="H29" s="22">
        <f>H27/$D$27</f>
        <v>0.3400000068693277</v>
      </c>
      <c r="I29" s="22">
        <f>I27/$D$27</f>
        <v>0.42000000020119377</v>
      </c>
      <c r="J29" s="22">
        <f>J27/$D$27</f>
        <v>0.10000000334125247</v>
      </c>
      <c r="K29" s="22">
        <f>K27/$D$27</f>
        <v>0.10000005723242156</v>
      </c>
      <c r="L29" s="22">
        <f>L27/$D$27</f>
        <v>0.03999999971976593</v>
      </c>
    </row>
    <row r="31" spans="1:12" s="24" customFormat="1" ht="12.75">
      <c r="A31" s="144" t="s">
        <v>22</v>
      </c>
      <c r="B31" s="145"/>
      <c r="C31" s="145"/>
      <c r="D31" s="145"/>
      <c r="E31" s="145"/>
      <c r="F31" s="145"/>
      <c r="G31" s="145"/>
      <c r="H31" s="145"/>
      <c r="I31" s="145"/>
      <c r="J31" s="145"/>
      <c r="K31" s="145"/>
      <c r="L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2" s="47" customFormat="1" ht="6" customHeight="1">
      <c r="A35" s="26"/>
      <c r="B35" s="44"/>
      <c r="C35" s="27"/>
      <c r="D35" s="45"/>
      <c r="E35" s="27"/>
      <c r="F35" s="27"/>
      <c r="G35" s="27"/>
      <c r="H35" s="27"/>
      <c r="I35" s="44"/>
      <c r="J35" s="44"/>
      <c r="K35" s="44"/>
      <c r="L35" s="44"/>
    </row>
    <row r="36" spans="1:12" s="47" customFormat="1" ht="12.75">
      <c r="A36" s="26" t="s">
        <v>24</v>
      </c>
      <c r="B36" s="44"/>
      <c r="C36" s="27" t="s">
        <v>25</v>
      </c>
      <c r="D36" s="45"/>
      <c r="E36" s="27"/>
      <c r="F36" s="27"/>
      <c r="G36" s="27"/>
      <c r="H36" s="27"/>
      <c r="I36" s="44"/>
      <c r="J36" s="44"/>
      <c r="K36" s="44"/>
      <c r="L36" s="44"/>
    </row>
    <row r="37" spans="1:12" s="47" customFormat="1" ht="6" customHeight="1">
      <c r="A37" s="26"/>
      <c r="B37" s="44"/>
      <c r="C37" s="27"/>
      <c r="D37" s="45"/>
      <c r="E37" s="27"/>
      <c r="F37" s="27"/>
      <c r="G37" s="27"/>
      <c r="H37" s="27"/>
      <c r="I37" s="44"/>
      <c r="J37" s="44"/>
      <c r="K37" s="44"/>
      <c r="L37" s="44"/>
    </row>
    <row r="38" spans="1:12" s="47" customFormat="1" ht="12.75">
      <c r="A38" s="26" t="s">
        <v>26</v>
      </c>
      <c r="B38" s="44"/>
      <c r="C38" s="44" t="s">
        <v>65</v>
      </c>
      <c r="D38" s="45"/>
      <c r="E38" s="46"/>
      <c r="F38" s="44"/>
      <c r="G38" s="44"/>
      <c r="H38" s="44"/>
      <c r="I38" s="44"/>
      <c r="J38" s="44"/>
      <c r="K38" s="44"/>
      <c r="L38" s="44"/>
    </row>
    <row r="39" spans="1:12" s="47" customFormat="1" ht="12.75">
      <c r="A39" s="26"/>
      <c r="B39" s="44"/>
      <c r="C39" s="44" t="s">
        <v>66</v>
      </c>
      <c r="D39" s="45"/>
      <c r="E39" s="46"/>
      <c r="F39" s="44"/>
      <c r="G39" s="44"/>
      <c r="H39" s="44"/>
      <c r="I39" s="44"/>
      <c r="J39" s="44"/>
      <c r="K39" s="44"/>
      <c r="L39" s="44"/>
    </row>
    <row r="40" spans="1:12" s="47" customFormat="1" ht="6" customHeight="1">
      <c r="A40" s="26"/>
      <c r="B40" s="44"/>
      <c r="C40" s="44"/>
      <c r="D40" s="45"/>
      <c r="E40" s="46"/>
      <c r="F40" s="44"/>
      <c r="G40" s="44"/>
      <c r="H40" s="44"/>
      <c r="I40" s="44"/>
      <c r="J40" s="44"/>
      <c r="K40" s="44"/>
      <c r="L40" s="44"/>
    </row>
    <row r="41" spans="1:12" s="47" customFormat="1" ht="12.75">
      <c r="A41" s="26" t="s">
        <v>29</v>
      </c>
      <c r="B41" s="44"/>
      <c r="C41" s="44" t="s">
        <v>30</v>
      </c>
      <c r="D41" s="45"/>
      <c r="E41" s="46"/>
      <c r="F41" s="44"/>
      <c r="G41" s="44"/>
      <c r="H41" s="44"/>
      <c r="I41" s="44"/>
      <c r="J41" s="44"/>
      <c r="K41" s="44"/>
      <c r="L41" s="44"/>
    </row>
    <row r="42" spans="1:12" s="47" customFormat="1" ht="6" customHeight="1">
      <c r="A42" s="26"/>
      <c r="B42" s="44"/>
      <c r="C42" s="44"/>
      <c r="D42" s="45"/>
      <c r="E42" s="46"/>
      <c r="F42" s="44"/>
      <c r="G42" s="44"/>
      <c r="H42" s="44"/>
      <c r="I42" s="44"/>
      <c r="J42" s="44"/>
      <c r="K42" s="44"/>
      <c r="L42" s="44"/>
    </row>
    <row r="43" spans="1:12" s="47" customFormat="1" ht="12.75">
      <c r="A43" s="26" t="s">
        <v>76</v>
      </c>
      <c r="B43" s="44"/>
      <c r="C43" s="44" t="s">
        <v>77</v>
      </c>
      <c r="D43" s="45"/>
      <c r="E43" s="46"/>
      <c r="F43" s="44"/>
      <c r="G43" s="44"/>
      <c r="H43" s="44"/>
      <c r="I43" s="44"/>
      <c r="J43" s="44"/>
      <c r="K43" s="44"/>
      <c r="L43" s="44"/>
    </row>
    <row r="44" spans="1:12" s="47" customFormat="1" ht="12.75">
      <c r="A44" s="26"/>
      <c r="B44" s="44"/>
      <c r="C44" s="44" t="s">
        <v>85</v>
      </c>
      <c r="D44" s="45"/>
      <c r="E44" s="46"/>
      <c r="F44" s="44"/>
      <c r="G44" s="44"/>
      <c r="H44" s="44"/>
      <c r="I44" s="44"/>
      <c r="J44" s="44"/>
      <c r="K44" s="44"/>
      <c r="L44" s="44"/>
    </row>
    <row r="45" spans="1:12" s="47" customFormat="1" ht="12.75">
      <c r="A45" s="26"/>
      <c r="B45" s="44"/>
      <c r="C45" s="44" t="s">
        <v>86</v>
      </c>
      <c r="D45" s="45"/>
      <c r="E45" s="46"/>
      <c r="F45" s="44"/>
      <c r="G45" s="44"/>
      <c r="H45" s="44"/>
      <c r="I45" s="44"/>
      <c r="J45" s="44"/>
      <c r="K45" s="44"/>
      <c r="L45" s="44"/>
    </row>
    <row r="46" spans="1:12" s="47" customFormat="1" ht="6" customHeight="1">
      <c r="A46" s="26"/>
      <c r="B46" s="44"/>
      <c r="C46" s="44"/>
      <c r="D46" s="45"/>
      <c r="E46" s="46"/>
      <c r="F46" s="44"/>
      <c r="G46" s="44"/>
      <c r="H46" s="44"/>
      <c r="I46" s="44"/>
      <c r="J46" s="44"/>
      <c r="K46" s="44"/>
      <c r="L46" s="44"/>
    </row>
    <row r="47" spans="1:12" s="47" customFormat="1" ht="12.75">
      <c r="A47" s="26" t="s">
        <v>31</v>
      </c>
      <c r="B47" s="44"/>
      <c r="C47" s="44" t="s">
        <v>78</v>
      </c>
      <c r="D47" s="45"/>
      <c r="E47" s="46"/>
      <c r="F47" s="44"/>
      <c r="G47" s="44"/>
      <c r="H47" s="44"/>
      <c r="I47" s="44"/>
      <c r="J47" s="44"/>
      <c r="K47" s="44"/>
      <c r="L47" s="44"/>
    </row>
    <row r="48" spans="1:12" s="47" customFormat="1" ht="12.75">
      <c r="A48" s="26"/>
      <c r="B48" s="44"/>
      <c r="C48" s="44" t="s">
        <v>79</v>
      </c>
      <c r="D48" s="45"/>
      <c r="E48" s="46"/>
      <c r="F48" s="44"/>
      <c r="G48" s="44"/>
      <c r="H48" s="44"/>
      <c r="I48" s="44"/>
      <c r="J48" s="44"/>
      <c r="K48" s="44"/>
      <c r="L48" s="44"/>
    </row>
    <row r="49" spans="1:12" s="47" customFormat="1" ht="6" customHeight="1">
      <c r="A49" s="26"/>
      <c r="B49" s="44"/>
      <c r="C49" s="44"/>
      <c r="D49" s="45"/>
      <c r="E49" s="46"/>
      <c r="F49" s="44"/>
      <c r="G49" s="44"/>
      <c r="H49" s="44"/>
      <c r="I49" s="44"/>
      <c r="J49" s="44"/>
      <c r="K49" s="44"/>
      <c r="L49" s="44"/>
    </row>
    <row r="50" spans="1:12" s="47" customFormat="1" ht="12.75">
      <c r="A50" s="26" t="s">
        <v>88</v>
      </c>
      <c r="B50" s="44"/>
      <c r="C50" s="44" t="s">
        <v>80</v>
      </c>
      <c r="D50" s="45"/>
      <c r="E50" s="46"/>
      <c r="F50" s="44"/>
      <c r="G50" s="44"/>
      <c r="H50" s="44"/>
      <c r="I50" s="44"/>
      <c r="J50" s="44"/>
      <c r="K50" s="44"/>
      <c r="L50" s="44"/>
    </row>
    <row r="51" spans="1:12" s="47" customFormat="1" ht="12.75">
      <c r="A51" s="29"/>
      <c r="B51" s="44"/>
      <c r="C51" s="44" t="s">
        <v>81</v>
      </c>
      <c r="D51" s="45"/>
      <c r="E51" s="46"/>
      <c r="F51" s="44"/>
      <c r="G51" s="44"/>
      <c r="H51" s="44"/>
      <c r="I51" s="44"/>
      <c r="J51" s="44"/>
      <c r="K51" s="44"/>
      <c r="L51" s="44"/>
    </row>
    <row r="52" spans="1:12" s="47" customFormat="1" ht="6" customHeight="1">
      <c r="A52" s="30"/>
      <c r="B52" s="52"/>
      <c r="C52" s="52"/>
      <c r="D52" s="52"/>
      <c r="E52" s="53"/>
      <c r="F52" s="52"/>
      <c r="G52" s="52"/>
      <c r="H52" s="52"/>
      <c r="I52" s="52"/>
      <c r="J52" s="52"/>
      <c r="K52" s="52"/>
      <c r="L52" s="52"/>
    </row>
    <row r="53" spans="1:12" s="47" customFormat="1" ht="12.75">
      <c r="A53" s="26" t="s">
        <v>53</v>
      </c>
      <c r="B53" s="44"/>
      <c r="C53" s="44" t="s">
        <v>67</v>
      </c>
      <c r="D53" s="45"/>
      <c r="E53" s="46"/>
      <c r="F53" s="44"/>
      <c r="G53" s="44"/>
      <c r="H53" s="44"/>
      <c r="I53" s="44"/>
      <c r="J53" s="44"/>
      <c r="K53" s="44"/>
      <c r="L53" s="45"/>
    </row>
    <row r="54" spans="1:12" s="47" customFormat="1" ht="12.75">
      <c r="A54" s="29"/>
      <c r="B54" s="44"/>
      <c r="C54" s="44" t="s">
        <v>68</v>
      </c>
      <c r="D54" s="45"/>
      <c r="E54" s="46"/>
      <c r="F54" s="44"/>
      <c r="G54" s="44"/>
      <c r="H54" s="44"/>
      <c r="I54" s="44"/>
      <c r="J54" s="44"/>
      <c r="K54" s="44"/>
      <c r="L54" s="45"/>
    </row>
    <row r="55" spans="1:12" s="47" customFormat="1" ht="12.75">
      <c r="A55" s="29"/>
      <c r="B55" s="44"/>
      <c r="C55" s="44" t="s">
        <v>69</v>
      </c>
      <c r="D55" s="45"/>
      <c r="E55" s="46"/>
      <c r="F55" s="44"/>
      <c r="G55" s="44"/>
      <c r="H55" s="44"/>
      <c r="I55" s="44"/>
      <c r="J55" s="44"/>
      <c r="K55" s="44"/>
      <c r="L55" s="45"/>
    </row>
    <row r="56" spans="1:12" ht="12.75">
      <c r="A56" s="30"/>
      <c r="B56" s="31"/>
      <c r="C56" s="44"/>
      <c r="D56" s="31"/>
      <c r="E56" s="32"/>
      <c r="F56" s="31"/>
      <c r="G56" s="31"/>
      <c r="H56" s="31"/>
      <c r="I56" s="31"/>
      <c r="J56" s="31"/>
      <c r="K56" s="31"/>
      <c r="L56" s="31"/>
    </row>
    <row r="57" spans="1:12" s="24" customFormat="1" ht="12.75">
      <c r="A57" s="144" t="s">
        <v>32</v>
      </c>
      <c r="B57" s="145"/>
      <c r="C57" s="145"/>
      <c r="D57" s="145"/>
      <c r="E57" s="145"/>
      <c r="F57" s="145"/>
      <c r="G57" s="145"/>
      <c r="H57" s="145"/>
      <c r="I57" s="145"/>
      <c r="J57" s="145"/>
      <c r="K57" s="145"/>
      <c r="L57" s="146"/>
    </row>
    <row r="58" ht="12.75">
      <c r="A58" s="25"/>
    </row>
    <row r="59" spans="1:12" ht="13.5">
      <c r="A59" s="33"/>
      <c r="F59" s="10" t="s">
        <v>10</v>
      </c>
      <c r="G59" s="34"/>
      <c r="H59" s="10" t="s">
        <v>82</v>
      </c>
      <c r="I59" s="10" t="s">
        <v>11</v>
      </c>
      <c r="J59" s="10" t="s">
        <v>83</v>
      </c>
      <c r="K59" s="10" t="s">
        <v>51</v>
      </c>
      <c r="L59" s="35"/>
    </row>
    <row r="60" spans="1:12" ht="12.75">
      <c r="A60" s="36"/>
      <c r="F60" s="8" t="s">
        <v>18</v>
      </c>
      <c r="G60" s="37"/>
      <c r="H60" s="8" t="s">
        <v>19</v>
      </c>
      <c r="I60" s="8" t="s">
        <v>20</v>
      </c>
      <c r="J60" s="8" t="s">
        <v>84</v>
      </c>
      <c r="K60" s="8" t="s">
        <v>52</v>
      </c>
      <c r="L60" s="35"/>
    </row>
    <row r="61" spans="2:12" ht="12.75">
      <c r="B61" s="40" t="s">
        <v>61</v>
      </c>
      <c r="C61" s="40"/>
      <c r="D61" s="27"/>
      <c r="E61" s="28"/>
      <c r="F61" s="41">
        <v>0.34</v>
      </c>
      <c r="G61" s="27"/>
      <c r="H61" s="41">
        <v>0.42</v>
      </c>
      <c r="I61" s="41">
        <v>0.1</v>
      </c>
      <c r="J61" s="41">
        <v>0.1</v>
      </c>
      <c r="K61" s="41">
        <v>0.04</v>
      </c>
      <c r="L61" s="39"/>
    </row>
    <row r="62" spans="2:12" ht="12.75">
      <c r="B62" s="40" t="s">
        <v>62</v>
      </c>
      <c r="C62" s="40"/>
      <c r="D62" s="27"/>
      <c r="E62" s="28"/>
      <c r="F62" s="41">
        <v>0.38</v>
      </c>
      <c r="G62" s="27"/>
      <c r="H62" s="41">
        <v>0.42</v>
      </c>
      <c r="I62" s="41">
        <v>0.1</v>
      </c>
      <c r="J62" s="41">
        <v>0.1</v>
      </c>
      <c r="K62" s="41">
        <v>0</v>
      </c>
      <c r="L62" s="39"/>
    </row>
    <row r="63" spans="2:12" ht="12.75">
      <c r="B63" s="40" t="s">
        <v>59</v>
      </c>
      <c r="C63" s="40"/>
      <c r="D63" s="27"/>
      <c r="E63" s="28"/>
      <c r="F63" s="41">
        <v>0.4</v>
      </c>
      <c r="G63" s="27"/>
      <c r="H63" s="41">
        <v>0.42</v>
      </c>
      <c r="I63" s="41">
        <v>0.08</v>
      </c>
      <c r="J63" s="41">
        <v>0.1</v>
      </c>
      <c r="K63" s="41">
        <v>0</v>
      </c>
      <c r="L63" s="39"/>
    </row>
    <row r="64" ht="12.75">
      <c r="A64" s="25"/>
    </row>
    <row r="65" spans="1:12" s="24" customFormat="1" ht="12.75">
      <c r="A65" s="147" t="s">
        <v>46</v>
      </c>
      <c r="B65" s="148"/>
      <c r="C65" s="148"/>
      <c r="D65" s="148"/>
      <c r="E65" s="148"/>
      <c r="F65" s="148"/>
      <c r="G65" s="148"/>
      <c r="H65" s="148"/>
      <c r="I65" s="148"/>
      <c r="J65" s="148"/>
      <c r="K65" s="148"/>
      <c r="L65" s="149"/>
    </row>
    <row r="66" spans="1:5" ht="12.75">
      <c r="A66" s="25"/>
      <c r="D66"/>
      <c r="E66" s="16"/>
    </row>
    <row r="67" spans="1:12" ht="51.75" customHeight="1">
      <c r="A67" s="151" t="s">
        <v>64</v>
      </c>
      <c r="B67" s="151"/>
      <c r="C67" s="151"/>
      <c r="D67" s="151"/>
      <c r="E67" s="151"/>
      <c r="F67" s="151"/>
      <c r="G67" s="151"/>
      <c r="H67" s="151"/>
      <c r="I67" s="151"/>
      <c r="J67" s="151"/>
      <c r="K67" s="151"/>
      <c r="L67" s="151"/>
    </row>
    <row r="68" spans="1:5" ht="12.75">
      <c r="A68" s="16"/>
      <c r="D68"/>
      <c r="E68" s="16"/>
    </row>
    <row r="69" spans="2:4" ht="12.75">
      <c r="B69" s="25" t="s">
        <v>47</v>
      </c>
      <c r="C69" s="25"/>
      <c r="D69" s="16">
        <v>1236683</v>
      </c>
    </row>
    <row r="70" spans="2:4" ht="12.75">
      <c r="B70" s="25" t="s">
        <v>48</v>
      </c>
      <c r="C70" s="25"/>
      <c r="D70" s="16">
        <v>412228</v>
      </c>
    </row>
    <row r="71" spans="2:4" ht="12.75">
      <c r="B71" s="16" t="s">
        <v>33</v>
      </c>
      <c r="D71" s="16" t="s">
        <v>33</v>
      </c>
    </row>
    <row r="72" ht="12.75">
      <c r="D72" s="16" t="s">
        <v>33</v>
      </c>
    </row>
    <row r="73" ht="12.75">
      <c r="A73" s="25" t="s">
        <v>35</v>
      </c>
    </row>
  </sheetData>
  <sheetProtection/>
  <mergeCells count="11">
    <mergeCell ref="A65:L65"/>
    <mergeCell ref="A67:L67"/>
    <mergeCell ref="A31:L31"/>
    <mergeCell ref="A57:L57"/>
    <mergeCell ref="H10:L10"/>
    <mergeCell ref="A8:L8"/>
    <mergeCell ref="A1:L1"/>
    <mergeCell ref="A2:L2"/>
    <mergeCell ref="A3:L3"/>
    <mergeCell ref="A4:L4"/>
    <mergeCell ref="A5:L5"/>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75" r:id="rId3"/>
  <drawing r:id="rId2"/>
</worksheet>
</file>

<file path=xl/worksheets/sheet16.xml><?xml version="1.0" encoding="utf-8"?>
<worksheet xmlns="http://schemas.openxmlformats.org/spreadsheetml/2006/main" xmlns:r="http://schemas.openxmlformats.org/officeDocument/2006/relationships">
  <sheetPr>
    <pageSetUpPr fitToPage="1"/>
  </sheetPr>
  <dimension ref="A1:L72"/>
  <sheetViews>
    <sheetView zoomScalePageLayoutView="0" workbookViewId="0" topLeftCell="A1">
      <selection activeCell="B29" sqref="B29"/>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2" width="13.7109375" style="16" customWidth="1"/>
    <col min="13" max="13" width="12.7109375" style="0" customWidth="1"/>
  </cols>
  <sheetData>
    <row r="1" spans="1:12" ht="18">
      <c r="A1" s="152" t="s">
        <v>0</v>
      </c>
      <c r="B1" s="152"/>
      <c r="C1" s="152"/>
      <c r="D1" s="152"/>
      <c r="E1" s="152"/>
      <c r="F1" s="152"/>
      <c r="G1" s="152"/>
      <c r="H1" s="152"/>
      <c r="I1" s="152"/>
      <c r="J1" s="152"/>
      <c r="K1" s="152"/>
      <c r="L1" s="152"/>
    </row>
    <row r="2" spans="1:12" ht="15">
      <c r="A2" s="153" t="s">
        <v>1</v>
      </c>
      <c r="B2" s="153"/>
      <c r="C2" s="153"/>
      <c r="D2" s="153"/>
      <c r="E2" s="153"/>
      <c r="F2" s="153"/>
      <c r="G2" s="153"/>
      <c r="H2" s="153"/>
      <c r="I2" s="153"/>
      <c r="J2" s="153"/>
      <c r="K2" s="153"/>
      <c r="L2" s="153"/>
    </row>
    <row r="3" spans="1:12" s="1" customFormat="1" ht="15">
      <c r="A3" s="153" t="s">
        <v>2</v>
      </c>
      <c r="B3" s="153"/>
      <c r="C3" s="153"/>
      <c r="D3" s="153"/>
      <c r="E3" s="153"/>
      <c r="F3" s="153"/>
      <c r="G3" s="153"/>
      <c r="H3" s="153"/>
      <c r="I3" s="153"/>
      <c r="J3" s="153"/>
      <c r="K3" s="153"/>
      <c r="L3" s="153"/>
    </row>
    <row r="4" spans="1:12" s="1" customFormat="1" ht="14.25">
      <c r="A4" s="138" t="s">
        <v>3</v>
      </c>
      <c r="B4" s="139"/>
      <c r="C4" s="139"/>
      <c r="D4" s="139"/>
      <c r="E4" s="139"/>
      <c r="F4" s="139"/>
      <c r="G4" s="139"/>
      <c r="H4" s="139"/>
      <c r="I4" s="139"/>
      <c r="J4" s="139"/>
      <c r="K4" s="139"/>
      <c r="L4" s="139"/>
    </row>
    <row r="5" spans="1:12" s="1" customFormat="1" ht="14.25">
      <c r="A5" s="154" t="s">
        <v>4</v>
      </c>
      <c r="B5" s="154"/>
      <c r="C5" s="154"/>
      <c r="D5" s="154"/>
      <c r="E5" s="154"/>
      <c r="F5" s="154"/>
      <c r="G5" s="154"/>
      <c r="H5" s="154"/>
      <c r="I5" s="154"/>
      <c r="J5" s="154"/>
      <c r="K5" s="154"/>
      <c r="L5" s="154"/>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144" t="s">
        <v>50</v>
      </c>
      <c r="B8" s="145"/>
      <c r="C8" s="145"/>
      <c r="D8" s="145"/>
      <c r="E8" s="145"/>
      <c r="F8" s="145"/>
      <c r="G8" s="145"/>
      <c r="H8" s="145"/>
      <c r="I8" s="145"/>
      <c r="J8" s="145"/>
      <c r="K8" s="145"/>
      <c r="L8" s="146"/>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143" t="s">
        <v>6</v>
      </c>
      <c r="I10" s="143"/>
      <c r="J10" s="143"/>
      <c r="K10" s="143"/>
      <c r="L10" s="143"/>
    </row>
    <row r="11" spans="1:12" s="1" customFormat="1" ht="7.5" customHeight="1">
      <c r="A11" s="3"/>
      <c r="B11" s="5"/>
      <c r="C11" s="5"/>
      <c r="D11" s="5"/>
      <c r="E11" s="6"/>
      <c r="F11" s="5"/>
      <c r="G11" s="5"/>
      <c r="H11" s="5"/>
      <c r="I11" s="5"/>
      <c r="J11" s="5"/>
      <c r="K11" s="5"/>
      <c r="L11" s="5"/>
    </row>
    <row r="12" spans="1:12" s="12" customFormat="1" ht="12">
      <c r="A12" s="9"/>
      <c r="B12" s="10" t="s">
        <v>7</v>
      </c>
      <c r="C12" s="10" t="s">
        <v>7</v>
      </c>
      <c r="D12" s="10"/>
      <c r="E12" s="11" t="s">
        <v>8</v>
      </c>
      <c r="F12" s="10" t="s">
        <v>9</v>
      </c>
      <c r="G12" s="10"/>
      <c r="H12" s="10" t="s">
        <v>10</v>
      </c>
      <c r="I12" s="10" t="s">
        <v>82</v>
      </c>
      <c r="J12" s="10" t="s">
        <v>11</v>
      </c>
      <c r="K12" s="10" t="s">
        <v>83</v>
      </c>
      <c r="L12" s="10" t="s">
        <v>51</v>
      </c>
    </row>
    <row r="13" spans="1:12" s="12" customFormat="1" ht="12">
      <c r="A13" s="13" t="s">
        <v>12</v>
      </c>
      <c r="B13" s="8" t="s">
        <v>13</v>
      </c>
      <c r="C13" s="8" t="s">
        <v>14</v>
      </c>
      <c r="D13" s="8" t="s">
        <v>15</v>
      </c>
      <c r="E13" s="14" t="s">
        <v>16</v>
      </c>
      <c r="F13" s="8" t="s">
        <v>17</v>
      </c>
      <c r="G13" s="15"/>
      <c r="H13" s="8" t="s">
        <v>18</v>
      </c>
      <c r="I13" s="8" t="s">
        <v>19</v>
      </c>
      <c r="J13" s="8" t="s">
        <v>20</v>
      </c>
      <c r="K13" s="8" t="s">
        <v>84</v>
      </c>
      <c r="L13" s="8" t="s">
        <v>52</v>
      </c>
    </row>
    <row r="15" spans="1:12" ht="12.75">
      <c r="A15" s="43">
        <v>39539</v>
      </c>
      <c r="B15" s="16">
        <v>49187840.3</v>
      </c>
      <c r="C15" s="16">
        <f aca="true" t="shared" si="0" ref="C15:C26">B15-D15</f>
        <v>44910816.769999996</v>
      </c>
      <c r="D15" s="16">
        <v>4277023.53</v>
      </c>
      <c r="E15" s="17">
        <v>959</v>
      </c>
      <c r="F15" s="16">
        <f>D15/E15/30</f>
        <v>148.66261835245047</v>
      </c>
      <c r="H15" s="16">
        <v>1454188.04</v>
      </c>
      <c r="I15" s="16">
        <v>1796349.89</v>
      </c>
      <c r="J15" s="16">
        <v>427702.4</v>
      </c>
      <c r="K15" s="16">
        <v>427702.4</v>
      </c>
      <c r="L15" s="16">
        <v>171080.94</v>
      </c>
    </row>
    <row r="16" spans="1:12" ht="12.75">
      <c r="A16" s="43">
        <v>39569</v>
      </c>
      <c r="B16" s="16">
        <v>54465281.89</v>
      </c>
      <c r="C16" s="16">
        <f t="shared" si="0"/>
        <v>49680731.93</v>
      </c>
      <c r="D16" s="16">
        <v>4784549.96</v>
      </c>
      <c r="E16" s="17">
        <v>959</v>
      </c>
      <c r="F16" s="16">
        <f>D16/E16/31</f>
        <v>160.93881260721852</v>
      </c>
      <c r="H16" s="16">
        <v>1626747.02</v>
      </c>
      <c r="I16" s="16">
        <v>2009510.97</v>
      </c>
      <c r="J16" s="16">
        <v>478455.01</v>
      </c>
      <c r="K16" s="16">
        <v>478455.01</v>
      </c>
      <c r="L16" s="16">
        <v>191382.01</v>
      </c>
    </row>
    <row r="17" spans="1:12" ht="12.75">
      <c r="A17" s="43">
        <v>39600</v>
      </c>
      <c r="B17" s="16">
        <v>48145518.96</v>
      </c>
      <c r="C17" s="16">
        <f t="shared" si="0"/>
        <v>43995119.21</v>
      </c>
      <c r="D17" s="16">
        <v>4150399.75</v>
      </c>
      <c r="E17" s="17">
        <v>959</v>
      </c>
      <c r="F17" s="16">
        <f>D17/E17/30</f>
        <v>144.26137469586374</v>
      </c>
      <c r="H17" s="16">
        <v>1411135.94</v>
      </c>
      <c r="I17" s="16">
        <v>1743167.91</v>
      </c>
      <c r="J17" s="16">
        <v>415039.98</v>
      </c>
      <c r="K17" s="16">
        <v>415039.98</v>
      </c>
      <c r="L17" s="16">
        <v>166016.01</v>
      </c>
    </row>
    <row r="18" spans="1:12" ht="12.75">
      <c r="A18" s="43">
        <v>39630</v>
      </c>
      <c r="B18" s="16">
        <v>53045408.37</v>
      </c>
      <c r="C18" s="16">
        <f t="shared" si="0"/>
        <v>48445279.73</v>
      </c>
      <c r="D18" s="16">
        <v>4600128.64</v>
      </c>
      <c r="E18" s="17">
        <v>959</v>
      </c>
      <c r="F18" s="16">
        <f>D18/E18/31</f>
        <v>154.73539775976317</v>
      </c>
      <c r="H18" s="16">
        <v>1564043.79</v>
      </c>
      <c r="I18" s="16">
        <v>1932054.05</v>
      </c>
      <c r="J18" s="16">
        <v>460012.89</v>
      </c>
      <c r="K18" s="16">
        <v>460012.89</v>
      </c>
      <c r="L18" s="16">
        <v>184005.15</v>
      </c>
    </row>
    <row r="19" spans="1:12" ht="12.75">
      <c r="A19" s="43">
        <v>39661</v>
      </c>
      <c r="B19" s="16">
        <v>43814517.67</v>
      </c>
      <c r="C19" s="16">
        <f t="shared" si="0"/>
        <v>39967229.93</v>
      </c>
      <c r="D19" s="16">
        <v>3847287.74</v>
      </c>
      <c r="E19" s="17">
        <v>959</v>
      </c>
      <c r="F19" s="16">
        <f>D19/E19/31</f>
        <v>129.41194591139964</v>
      </c>
      <c r="H19" s="16">
        <v>1308077.86</v>
      </c>
      <c r="I19" s="16">
        <v>1615860.83</v>
      </c>
      <c r="J19" s="16">
        <v>384728.8</v>
      </c>
      <c r="K19" s="16">
        <v>384728.8</v>
      </c>
      <c r="L19" s="16">
        <v>153891.52</v>
      </c>
    </row>
    <row r="20" spans="1:12" ht="12.75">
      <c r="A20" s="43">
        <v>39692</v>
      </c>
      <c r="B20" s="16">
        <v>47727230.78</v>
      </c>
      <c r="C20" s="16">
        <f t="shared" si="0"/>
        <v>43508416.3</v>
      </c>
      <c r="D20" s="16">
        <v>4218814.48</v>
      </c>
      <c r="E20" s="17">
        <v>959</v>
      </c>
      <c r="F20" s="16">
        <f>D20/E20/30</f>
        <v>146.63936322558223</v>
      </c>
      <c r="H20" s="16">
        <v>1434396.96</v>
      </c>
      <c r="I20" s="16">
        <v>1771902.06</v>
      </c>
      <c r="J20" s="16">
        <v>421881.45</v>
      </c>
      <c r="K20" s="16">
        <v>421881.45</v>
      </c>
      <c r="L20" s="16">
        <v>168752.6</v>
      </c>
    </row>
    <row r="21" spans="1:12" ht="12.75">
      <c r="A21" s="43">
        <v>39722</v>
      </c>
      <c r="B21" s="16">
        <v>49589362.21</v>
      </c>
      <c r="C21" s="16">
        <f t="shared" si="0"/>
        <v>45174534.68</v>
      </c>
      <c r="D21" s="16">
        <v>4414827.53</v>
      </c>
      <c r="E21" s="17">
        <v>959</v>
      </c>
      <c r="F21" s="16">
        <f>D21/E21/31</f>
        <v>148.50238924955434</v>
      </c>
      <c r="H21" s="16">
        <v>1501041.39</v>
      </c>
      <c r="I21" s="16">
        <v>1854227.58</v>
      </c>
      <c r="J21" s="16">
        <v>441482.77</v>
      </c>
      <c r="K21" s="16">
        <v>441482.77</v>
      </c>
      <c r="L21" s="16">
        <v>176593.08</v>
      </c>
    </row>
    <row r="22" spans="1:12" ht="12.75">
      <c r="A22" s="43">
        <v>39753</v>
      </c>
      <c r="B22" s="16">
        <v>44259431.51</v>
      </c>
      <c r="C22" s="16">
        <f t="shared" si="0"/>
        <v>40283057.39</v>
      </c>
      <c r="D22" s="16">
        <v>3976374.12</v>
      </c>
      <c r="E22" s="17">
        <v>959</v>
      </c>
      <c r="F22" s="16">
        <f>D22/E22/30</f>
        <v>138.21251720542233</v>
      </c>
      <c r="H22" s="16">
        <v>1351967.2</v>
      </c>
      <c r="I22" s="16">
        <v>1670077.13</v>
      </c>
      <c r="J22" s="16">
        <v>397637.44</v>
      </c>
      <c r="K22" s="16">
        <v>397637.44</v>
      </c>
      <c r="L22" s="16">
        <v>159055</v>
      </c>
    </row>
    <row r="23" spans="1:12" ht="12.75">
      <c r="A23" s="43">
        <v>39783</v>
      </c>
      <c r="B23" s="16">
        <v>42842299.35</v>
      </c>
      <c r="C23" s="16">
        <f t="shared" si="0"/>
        <v>39106892.31</v>
      </c>
      <c r="D23" s="16">
        <v>3735407.04</v>
      </c>
      <c r="E23" s="17">
        <v>959</v>
      </c>
      <c r="F23" s="16">
        <f>D23/E23/31</f>
        <v>125.64859362911636</v>
      </c>
      <c r="H23" s="16">
        <v>1270038.41</v>
      </c>
      <c r="I23" s="16">
        <v>1568870.94</v>
      </c>
      <c r="J23" s="16">
        <v>373540.72</v>
      </c>
      <c r="K23" s="16">
        <v>373540.72</v>
      </c>
      <c r="L23" s="16">
        <v>149416.31</v>
      </c>
    </row>
    <row r="24" spans="1:12" ht="12.75">
      <c r="A24" s="43">
        <v>39814</v>
      </c>
      <c r="B24" s="16">
        <v>48428324.55</v>
      </c>
      <c r="C24" s="16">
        <f t="shared" si="0"/>
        <v>44098471.73</v>
      </c>
      <c r="D24" s="16">
        <v>4329852.82</v>
      </c>
      <c r="E24" s="17">
        <v>959</v>
      </c>
      <c r="F24" s="16">
        <f>D24/E24/31</f>
        <v>145.6440788455717</v>
      </c>
      <c r="H24" s="16">
        <v>1472149.99</v>
      </c>
      <c r="I24" s="16">
        <v>1818538.18</v>
      </c>
      <c r="J24" s="16">
        <v>432985.3</v>
      </c>
      <c r="K24" s="16">
        <v>432985.3</v>
      </c>
      <c r="L24" s="16">
        <v>173194.12</v>
      </c>
    </row>
    <row r="25" spans="1:12" ht="12.75">
      <c r="A25" s="43">
        <v>39845</v>
      </c>
      <c r="B25" s="16">
        <v>51514084.48</v>
      </c>
      <c r="C25" s="16">
        <f t="shared" si="0"/>
        <v>47154501.699999996</v>
      </c>
      <c r="D25" s="16">
        <v>4359582.78</v>
      </c>
      <c r="E25" s="17">
        <v>959</v>
      </c>
      <c r="F25" s="16">
        <f>D25/E25/28</f>
        <v>162.3559801876955</v>
      </c>
      <c r="H25" s="16">
        <v>1482258.21</v>
      </c>
      <c r="I25" s="16">
        <v>1831024.77</v>
      </c>
      <c r="J25" s="16">
        <v>435958.27</v>
      </c>
      <c r="K25" s="16">
        <v>435958.27</v>
      </c>
      <c r="L25" s="16">
        <v>174383.29</v>
      </c>
    </row>
    <row r="26" spans="1:12" ht="12.75">
      <c r="A26" s="43">
        <v>39873</v>
      </c>
      <c r="B26" s="16">
        <v>55210841.12</v>
      </c>
      <c r="C26" s="16">
        <f t="shared" si="0"/>
        <v>50295579.699999996</v>
      </c>
      <c r="D26" s="16">
        <v>4915261.42</v>
      </c>
      <c r="H26" s="16">
        <v>1671188.92</v>
      </c>
      <c r="I26" s="16">
        <v>2064409.8</v>
      </c>
      <c r="J26" s="16">
        <v>491526.18</v>
      </c>
      <c r="K26" s="16">
        <v>491526.18</v>
      </c>
      <c r="L26" s="16">
        <v>196610.45</v>
      </c>
    </row>
    <row r="27" spans="1:12" ht="13.5" thickBot="1">
      <c r="A27" s="3" t="s">
        <v>21</v>
      </c>
      <c r="B27" s="19">
        <f>SUM(B15:B26)</f>
        <v>588230141.19</v>
      </c>
      <c r="C27" s="19">
        <f>SUM(C15:C26)</f>
        <v>536620631.38</v>
      </c>
      <c r="D27" s="19">
        <f>SUM(D15:D26)</f>
        <v>51609509.81</v>
      </c>
      <c r="H27" s="19">
        <f>SUM(H15:H26)</f>
        <v>17547233.729999997</v>
      </c>
      <c r="I27" s="19">
        <f>SUM(I15:I26)</f>
        <v>21675994.11</v>
      </c>
      <c r="J27" s="19">
        <f>SUM(J15:J26)</f>
        <v>5160951.209999999</v>
      </c>
      <c r="K27" s="19">
        <f>SUM(K15:K26)</f>
        <v>5160951.209999999</v>
      </c>
      <c r="L27" s="19">
        <f>SUM(L15:L26)</f>
        <v>2064380.4800000002</v>
      </c>
    </row>
    <row r="28" spans="2:12" ht="10.5" customHeight="1" thickTop="1">
      <c r="B28" s="20"/>
      <c r="C28" s="20"/>
      <c r="D28" s="20"/>
      <c r="H28" s="20"/>
      <c r="I28" s="20"/>
      <c r="J28" s="20"/>
      <c r="K28" s="20"/>
      <c r="L28" s="20"/>
    </row>
    <row r="29" spans="1:12" s="23" customFormat="1" ht="12.75">
      <c r="A29" s="21"/>
      <c r="B29" s="22"/>
      <c r="C29" s="22">
        <f>C27/B27</f>
        <v>0.9122630647494651</v>
      </c>
      <c r="D29" s="22">
        <f>D27/B27</f>
        <v>0.08773693525053484</v>
      </c>
      <c r="H29" s="22">
        <f>H27/$D$27</f>
        <v>0.3400000076458776</v>
      </c>
      <c r="I29" s="22">
        <f>I27/$D$27</f>
        <v>0.41999999980236197</v>
      </c>
      <c r="J29" s="22">
        <f>J27/$D$27</f>
        <v>0.10000000443716671</v>
      </c>
      <c r="K29" s="22">
        <f>K27/$D$27</f>
        <v>0.10000000443716671</v>
      </c>
      <c r="L29" s="22">
        <f>L27/$D$27</f>
        <v>0.0400000016973616</v>
      </c>
    </row>
    <row r="31" spans="1:12" s="24" customFormat="1" ht="12.75">
      <c r="A31" s="144" t="s">
        <v>22</v>
      </c>
      <c r="B31" s="145"/>
      <c r="C31" s="145"/>
      <c r="D31" s="145"/>
      <c r="E31" s="145"/>
      <c r="F31" s="145"/>
      <c r="G31" s="145"/>
      <c r="H31" s="145"/>
      <c r="I31" s="145"/>
      <c r="J31" s="145"/>
      <c r="K31" s="145"/>
      <c r="L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2" s="64" customFormat="1" ht="12.75" customHeight="1">
      <c r="A35" s="60"/>
      <c r="B35" s="61"/>
      <c r="C35" s="62"/>
      <c r="D35" s="63"/>
      <c r="E35" s="63"/>
      <c r="F35" s="63"/>
      <c r="G35" s="63"/>
      <c r="H35" s="63"/>
      <c r="I35" s="63"/>
      <c r="J35" s="63"/>
      <c r="K35" s="63"/>
      <c r="L35" s="63"/>
    </row>
    <row r="36" spans="1:12" ht="12.75">
      <c r="A36" s="26" t="s">
        <v>24</v>
      </c>
      <c r="B36" s="27"/>
      <c r="C36" s="27" t="s">
        <v>25</v>
      </c>
      <c r="E36" s="27"/>
      <c r="F36" s="27"/>
      <c r="G36" s="27"/>
      <c r="H36" s="27"/>
      <c r="I36" s="27"/>
      <c r="J36" s="27"/>
      <c r="K36" s="27"/>
      <c r="L36" s="27"/>
    </row>
    <row r="37" spans="1:12" ht="6" customHeight="1">
      <c r="A37" s="26"/>
      <c r="B37" s="27"/>
      <c r="C37" s="27"/>
      <c r="E37" s="27"/>
      <c r="F37" s="27"/>
      <c r="G37" s="27"/>
      <c r="H37" s="27"/>
      <c r="I37" s="27"/>
      <c r="J37" s="27"/>
      <c r="K37" s="27"/>
      <c r="L37" s="27"/>
    </row>
    <row r="38" spans="1:12" ht="12.75">
      <c r="A38" s="26" t="s">
        <v>26</v>
      </c>
      <c r="B38" s="27"/>
      <c r="C38" s="27" t="s">
        <v>55</v>
      </c>
      <c r="E38" s="28"/>
      <c r="F38" s="27"/>
      <c r="G38" s="27"/>
      <c r="H38" s="27"/>
      <c r="I38" s="27"/>
      <c r="J38" s="27"/>
      <c r="K38" s="27"/>
      <c r="L38" s="27"/>
    </row>
    <row r="39" spans="1:12" ht="12.75">
      <c r="A39" s="26"/>
      <c r="B39" s="27"/>
      <c r="C39" s="27" t="s">
        <v>56</v>
      </c>
      <c r="E39" s="28"/>
      <c r="F39" s="27"/>
      <c r="G39" s="27"/>
      <c r="H39" s="27"/>
      <c r="I39" s="27"/>
      <c r="J39" s="27"/>
      <c r="K39" s="27"/>
      <c r="L39" s="27"/>
    </row>
    <row r="40" spans="1:12" ht="6" customHeight="1">
      <c r="A40" s="26"/>
      <c r="B40" s="27"/>
      <c r="C40" s="27"/>
      <c r="E40" s="28"/>
      <c r="F40" s="27"/>
      <c r="G40" s="27"/>
      <c r="H40" s="27"/>
      <c r="I40" s="27"/>
      <c r="J40" s="27"/>
      <c r="K40" s="27"/>
      <c r="L40" s="27"/>
    </row>
    <row r="41" spans="1:12" ht="12.75">
      <c r="A41" s="26" t="s">
        <v>29</v>
      </c>
      <c r="B41" s="27"/>
      <c r="C41" s="27" t="s">
        <v>30</v>
      </c>
      <c r="E41" s="28"/>
      <c r="F41" s="27"/>
      <c r="G41" s="27"/>
      <c r="H41" s="27"/>
      <c r="I41" s="27"/>
      <c r="J41" s="27"/>
      <c r="K41" s="27"/>
      <c r="L41" s="27"/>
    </row>
    <row r="42" spans="1:12" ht="6" customHeight="1">
      <c r="A42" s="26"/>
      <c r="B42" s="27"/>
      <c r="C42" s="27"/>
      <c r="E42" s="28"/>
      <c r="F42" s="27"/>
      <c r="G42" s="27"/>
      <c r="H42" s="27"/>
      <c r="I42" s="27"/>
      <c r="J42" s="27"/>
      <c r="K42" s="27"/>
      <c r="L42" s="27"/>
    </row>
    <row r="43" spans="1:12" s="47" customFormat="1" ht="12.75">
      <c r="A43" s="26" t="s">
        <v>76</v>
      </c>
      <c r="B43" s="44"/>
      <c r="C43" s="44" t="s">
        <v>77</v>
      </c>
      <c r="D43" s="45"/>
      <c r="E43" s="46"/>
      <c r="F43" s="44"/>
      <c r="G43" s="44"/>
      <c r="H43" s="44"/>
      <c r="I43" s="44"/>
      <c r="J43" s="44"/>
      <c r="K43" s="44"/>
      <c r="L43" s="44"/>
    </row>
    <row r="44" spans="1:12" s="47" customFormat="1" ht="12.75">
      <c r="A44" s="26"/>
      <c r="B44" s="44"/>
      <c r="C44" s="44" t="s">
        <v>85</v>
      </c>
      <c r="D44" s="45"/>
      <c r="E44" s="46"/>
      <c r="F44" s="44"/>
      <c r="G44" s="44"/>
      <c r="H44" s="44"/>
      <c r="I44" s="44"/>
      <c r="J44" s="44"/>
      <c r="K44" s="44"/>
      <c r="L44" s="44"/>
    </row>
    <row r="45" spans="1:12" s="47" customFormat="1" ht="12.75">
      <c r="A45" s="26"/>
      <c r="B45" s="44"/>
      <c r="C45" s="44" t="s">
        <v>86</v>
      </c>
      <c r="D45" s="45"/>
      <c r="E45" s="46"/>
      <c r="F45" s="44"/>
      <c r="G45" s="44"/>
      <c r="H45" s="44"/>
      <c r="I45" s="44"/>
      <c r="J45" s="44"/>
      <c r="K45" s="44"/>
      <c r="L45" s="44"/>
    </row>
    <row r="46" spans="1:12" s="47" customFormat="1" ht="12.75">
      <c r="A46" s="26" t="s">
        <v>31</v>
      </c>
      <c r="B46" s="44"/>
      <c r="C46" s="44" t="s">
        <v>78</v>
      </c>
      <c r="D46" s="45"/>
      <c r="E46" s="46"/>
      <c r="F46" s="44"/>
      <c r="G46" s="44"/>
      <c r="H46" s="44"/>
      <c r="I46" s="44"/>
      <c r="J46" s="44"/>
      <c r="K46" s="44"/>
      <c r="L46" s="44"/>
    </row>
    <row r="47" spans="1:12" s="47" customFormat="1" ht="12.75">
      <c r="A47" s="26"/>
      <c r="B47" s="44"/>
      <c r="C47" s="44" t="s">
        <v>79</v>
      </c>
      <c r="D47" s="45"/>
      <c r="E47" s="46"/>
      <c r="F47" s="44"/>
      <c r="G47" s="44"/>
      <c r="H47" s="44"/>
      <c r="I47" s="44"/>
      <c r="J47" s="44"/>
      <c r="K47" s="44"/>
      <c r="L47" s="44"/>
    </row>
    <row r="48" spans="1:12" ht="6" customHeight="1">
      <c r="A48" s="26"/>
      <c r="B48" s="27"/>
      <c r="C48" s="27"/>
      <c r="E48" s="28"/>
      <c r="F48" s="27"/>
      <c r="G48" s="27"/>
      <c r="H48" s="27"/>
      <c r="I48" s="27"/>
      <c r="J48" s="27"/>
      <c r="K48" s="27"/>
      <c r="L48" s="27"/>
    </row>
    <row r="49" spans="1:12" s="47" customFormat="1" ht="12.75">
      <c r="A49" s="26" t="s">
        <v>88</v>
      </c>
      <c r="B49" s="44"/>
      <c r="C49" s="44" t="s">
        <v>80</v>
      </c>
      <c r="D49" s="45"/>
      <c r="E49" s="46"/>
      <c r="F49" s="44"/>
      <c r="G49" s="44"/>
      <c r="H49" s="44"/>
      <c r="I49" s="44"/>
      <c r="J49" s="44"/>
      <c r="K49" s="44"/>
      <c r="L49" s="44"/>
    </row>
    <row r="50" spans="1:12" s="47" customFormat="1" ht="12.75">
      <c r="A50" s="29"/>
      <c r="B50" s="44"/>
      <c r="C50" s="44" t="s">
        <v>81</v>
      </c>
      <c r="D50" s="45"/>
      <c r="E50" s="46"/>
      <c r="F50" s="44"/>
      <c r="G50" s="44"/>
      <c r="H50" s="44"/>
      <c r="I50" s="44"/>
      <c r="J50" s="44"/>
      <c r="K50" s="44"/>
      <c r="L50" s="44"/>
    </row>
    <row r="51" spans="1:12" ht="7.5" customHeight="1">
      <c r="A51" s="29"/>
      <c r="B51" s="27"/>
      <c r="C51" s="27"/>
      <c r="E51" s="28"/>
      <c r="F51" s="27"/>
      <c r="G51" s="27"/>
      <c r="H51" s="27"/>
      <c r="I51" s="27"/>
      <c r="J51" s="27"/>
      <c r="K51" s="27"/>
      <c r="L51" s="27"/>
    </row>
    <row r="52" spans="1:12" s="47" customFormat="1" ht="12.75">
      <c r="A52" s="26" t="s">
        <v>53</v>
      </c>
      <c r="B52" s="44"/>
      <c r="C52" s="44" t="s">
        <v>54</v>
      </c>
      <c r="D52" s="45"/>
      <c r="E52" s="46"/>
      <c r="F52" s="44"/>
      <c r="G52" s="44"/>
      <c r="H52" s="44"/>
      <c r="I52" s="44"/>
      <c r="J52" s="44"/>
      <c r="K52" s="44"/>
      <c r="L52" s="45"/>
    </row>
    <row r="53" spans="1:12" s="47" customFormat="1" ht="12.75">
      <c r="A53" s="29"/>
      <c r="B53" s="44"/>
      <c r="C53" s="44" t="s">
        <v>57</v>
      </c>
      <c r="D53" s="45"/>
      <c r="E53" s="46"/>
      <c r="F53" s="44"/>
      <c r="G53" s="44"/>
      <c r="H53" s="44"/>
      <c r="I53" s="44"/>
      <c r="J53" s="44"/>
      <c r="K53" s="44"/>
      <c r="L53" s="45"/>
    </row>
    <row r="54" spans="1:12" s="47" customFormat="1" ht="12.75">
      <c r="A54" s="29"/>
      <c r="B54" s="44"/>
      <c r="C54" s="44" t="s">
        <v>58</v>
      </c>
      <c r="D54" s="45"/>
      <c r="E54" s="46"/>
      <c r="F54" s="44"/>
      <c r="G54" s="44"/>
      <c r="H54" s="44"/>
      <c r="I54" s="44"/>
      <c r="J54" s="44"/>
      <c r="K54" s="44"/>
      <c r="L54" s="45"/>
    </row>
    <row r="55" spans="1:12" ht="12.75">
      <c r="A55" s="30"/>
      <c r="B55" s="31"/>
      <c r="C55" s="44"/>
      <c r="D55" s="31"/>
      <c r="E55" s="32"/>
      <c r="F55" s="31"/>
      <c r="G55" s="31"/>
      <c r="H55" s="31"/>
      <c r="I55" s="31"/>
      <c r="J55" s="31"/>
      <c r="K55" s="31"/>
      <c r="L55" s="31"/>
    </row>
    <row r="56" spans="1:12" s="24" customFormat="1" ht="12.75">
      <c r="A56" s="144" t="s">
        <v>32</v>
      </c>
      <c r="B56" s="145"/>
      <c r="C56" s="145"/>
      <c r="D56" s="145"/>
      <c r="E56" s="145"/>
      <c r="F56" s="145"/>
      <c r="G56" s="145"/>
      <c r="H56" s="145"/>
      <c r="I56" s="145"/>
      <c r="J56" s="145"/>
      <c r="K56" s="145"/>
      <c r="L56" s="146"/>
    </row>
    <row r="57" ht="12.75">
      <c r="A57" s="25"/>
    </row>
    <row r="58" spans="1:12" ht="13.5">
      <c r="A58" s="33"/>
      <c r="F58" s="10" t="s">
        <v>10</v>
      </c>
      <c r="G58" s="34"/>
      <c r="H58" s="10" t="s">
        <v>82</v>
      </c>
      <c r="I58" s="10" t="s">
        <v>11</v>
      </c>
      <c r="J58" s="10" t="s">
        <v>83</v>
      </c>
      <c r="K58" s="10" t="s">
        <v>51</v>
      </c>
      <c r="L58" s="35"/>
    </row>
    <row r="59" spans="1:12" ht="12.75">
      <c r="A59" s="36"/>
      <c r="F59" s="8" t="s">
        <v>18</v>
      </c>
      <c r="G59" s="37"/>
      <c r="H59" s="8" t="s">
        <v>19</v>
      </c>
      <c r="I59" s="8" t="s">
        <v>20</v>
      </c>
      <c r="J59" s="8" t="s">
        <v>84</v>
      </c>
      <c r="K59" s="8" t="s">
        <v>52</v>
      </c>
      <c r="L59" s="35"/>
    </row>
    <row r="60" spans="2:12" ht="12.75">
      <c r="B60" s="40" t="s">
        <v>61</v>
      </c>
      <c r="C60" s="40"/>
      <c r="D60" s="27"/>
      <c r="E60" s="28"/>
      <c r="F60" s="41">
        <v>0.34</v>
      </c>
      <c r="G60" s="27"/>
      <c r="H60" s="41">
        <v>0.42</v>
      </c>
      <c r="I60" s="41">
        <v>0.1</v>
      </c>
      <c r="J60" s="41">
        <v>0.1</v>
      </c>
      <c r="K60" s="41">
        <v>0.04</v>
      </c>
      <c r="L60" s="39"/>
    </row>
    <row r="61" spans="2:12" ht="12.75">
      <c r="B61" s="40" t="s">
        <v>62</v>
      </c>
      <c r="C61" s="40"/>
      <c r="D61" s="27"/>
      <c r="E61" s="28"/>
      <c r="F61" s="41">
        <v>0.38</v>
      </c>
      <c r="G61" s="27"/>
      <c r="H61" s="41">
        <v>0.42</v>
      </c>
      <c r="I61" s="41">
        <v>0.1</v>
      </c>
      <c r="J61" s="41">
        <v>0.1</v>
      </c>
      <c r="K61" s="41">
        <v>0</v>
      </c>
      <c r="L61" s="39"/>
    </row>
    <row r="62" spans="2:12" ht="12.75">
      <c r="B62" s="40" t="s">
        <v>59</v>
      </c>
      <c r="C62" s="40"/>
      <c r="D62" s="27"/>
      <c r="E62" s="28"/>
      <c r="F62" s="41">
        <v>0.4</v>
      </c>
      <c r="G62" s="27"/>
      <c r="H62" s="41">
        <v>0.42</v>
      </c>
      <c r="I62" s="41">
        <v>0.08</v>
      </c>
      <c r="J62" s="41">
        <v>0.1</v>
      </c>
      <c r="K62" s="41">
        <v>0</v>
      </c>
      <c r="L62" s="39"/>
    </row>
    <row r="63" ht="12.75">
      <c r="A63" s="25"/>
    </row>
    <row r="64" spans="1:12" s="24" customFormat="1" ht="12.75">
      <c r="A64" s="147" t="s">
        <v>46</v>
      </c>
      <c r="B64" s="148"/>
      <c r="C64" s="148"/>
      <c r="D64" s="148"/>
      <c r="E64" s="148"/>
      <c r="F64" s="148"/>
      <c r="G64" s="148"/>
      <c r="H64" s="148"/>
      <c r="I64" s="148"/>
      <c r="J64" s="148"/>
      <c r="K64" s="148"/>
      <c r="L64" s="149"/>
    </row>
    <row r="65" spans="1:5" ht="12.75">
      <c r="A65" s="25"/>
      <c r="D65"/>
      <c r="E65" s="16"/>
    </row>
    <row r="66" spans="1:12" ht="51.75" customHeight="1">
      <c r="A66" s="151" t="s">
        <v>60</v>
      </c>
      <c r="B66" s="151"/>
      <c r="C66" s="151"/>
      <c r="D66" s="151"/>
      <c r="E66" s="151"/>
      <c r="F66" s="151"/>
      <c r="G66" s="151"/>
      <c r="H66" s="151"/>
      <c r="I66" s="151"/>
      <c r="J66" s="151"/>
      <c r="K66" s="151"/>
      <c r="L66" s="151"/>
    </row>
    <row r="67" spans="1:5" ht="12.75">
      <c r="A67" s="16"/>
      <c r="D67"/>
      <c r="E67" s="16"/>
    </row>
    <row r="68" spans="2:4" ht="12.75">
      <c r="B68" s="25" t="s">
        <v>47</v>
      </c>
      <c r="C68" s="25"/>
      <c r="D68" s="16">
        <v>1236683</v>
      </c>
    </row>
    <row r="69" spans="2:4" ht="12.75">
      <c r="B69" s="25" t="s">
        <v>48</v>
      </c>
      <c r="C69" s="25"/>
      <c r="D69" s="16">
        <v>412228</v>
      </c>
    </row>
    <row r="70" spans="2:4" ht="12.75">
      <c r="B70" s="16" t="s">
        <v>33</v>
      </c>
      <c r="D70" s="16" t="s">
        <v>33</v>
      </c>
    </row>
    <row r="71" ht="12.75">
      <c r="D71" s="16" t="s">
        <v>33</v>
      </c>
    </row>
    <row r="72" ht="12.75">
      <c r="A72" s="25" t="s">
        <v>35</v>
      </c>
    </row>
  </sheetData>
  <sheetProtection/>
  <mergeCells count="11">
    <mergeCell ref="A66:L66"/>
    <mergeCell ref="A31:L31"/>
    <mergeCell ref="A56:L56"/>
    <mergeCell ref="H10:L10"/>
    <mergeCell ref="A8:L8"/>
    <mergeCell ref="A1:L1"/>
    <mergeCell ref="A2:L2"/>
    <mergeCell ref="A3:L3"/>
    <mergeCell ref="A4:L4"/>
    <mergeCell ref="A5:L5"/>
    <mergeCell ref="A64:L64"/>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74" r:id="rId3"/>
  <drawing r:id="rId2"/>
</worksheet>
</file>

<file path=xl/worksheets/sheet17.xml><?xml version="1.0" encoding="utf-8"?>
<worksheet xmlns="http://schemas.openxmlformats.org/spreadsheetml/2006/main" xmlns:r="http://schemas.openxmlformats.org/officeDocument/2006/relationships">
  <sheetPr>
    <pageSetUpPr fitToPage="1"/>
  </sheetPr>
  <dimension ref="A1:L70"/>
  <sheetViews>
    <sheetView zoomScalePageLayoutView="0" workbookViewId="0" topLeftCell="A1">
      <selection activeCell="B29" sqref="B29"/>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5.00390625" style="16" customWidth="1"/>
    <col min="12" max="12" width="12.7109375" style="0" customWidth="1"/>
  </cols>
  <sheetData>
    <row r="1" spans="1:11" ht="18">
      <c r="A1" s="152" t="s">
        <v>0</v>
      </c>
      <c r="B1" s="152"/>
      <c r="C1" s="152"/>
      <c r="D1" s="152"/>
      <c r="E1" s="152"/>
      <c r="F1" s="152"/>
      <c r="G1" s="152"/>
      <c r="H1" s="152"/>
      <c r="I1" s="152"/>
      <c r="J1" s="152"/>
      <c r="K1" s="152"/>
    </row>
    <row r="2" spans="1:11" ht="15">
      <c r="A2" s="153" t="s">
        <v>1</v>
      </c>
      <c r="B2" s="153"/>
      <c r="C2" s="153"/>
      <c r="D2" s="153"/>
      <c r="E2" s="153"/>
      <c r="F2" s="153"/>
      <c r="G2" s="153"/>
      <c r="H2" s="153"/>
      <c r="I2" s="153"/>
      <c r="J2" s="153"/>
      <c r="K2" s="153"/>
    </row>
    <row r="3" spans="1:11" s="1" customFormat="1" ht="15">
      <c r="A3" s="153" t="s">
        <v>2</v>
      </c>
      <c r="B3" s="153"/>
      <c r="C3" s="153"/>
      <c r="D3" s="153"/>
      <c r="E3" s="153"/>
      <c r="F3" s="153"/>
      <c r="G3" s="153"/>
      <c r="H3" s="153"/>
      <c r="I3" s="153"/>
      <c r="J3" s="153"/>
      <c r="K3" s="153"/>
    </row>
    <row r="4" spans="1:11" s="1" customFormat="1" ht="14.25">
      <c r="A4" s="139" t="s">
        <v>3</v>
      </c>
      <c r="B4" s="139"/>
      <c r="C4" s="139"/>
      <c r="D4" s="139"/>
      <c r="E4" s="139"/>
      <c r="F4" s="139"/>
      <c r="G4" s="139"/>
      <c r="H4" s="139"/>
      <c r="I4" s="139"/>
      <c r="J4" s="139"/>
      <c r="K4" s="139"/>
    </row>
    <row r="5" spans="1:11" s="1" customFormat="1" ht="14.25">
      <c r="A5" s="154" t="s">
        <v>4</v>
      </c>
      <c r="B5" s="154"/>
      <c r="C5" s="154"/>
      <c r="D5" s="154"/>
      <c r="E5" s="154"/>
      <c r="F5" s="154"/>
      <c r="G5" s="154"/>
      <c r="H5" s="154"/>
      <c r="I5" s="154"/>
      <c r="J5" s="154"/>
      <c r="K5" s="154"/>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44" t="s">
        <v>45</v>
      </c>
      <c r="B8" s="145"/>
      <c r="C8" s="145"/>
      <c r="D8" s="145"/>
      <c r="E8" s="145"/>
      <c r="F8" s="145"/>
      <c r="G8" s="145"/>
      <c r="H8" s="145"/>
      <c r="I8" s="145"/>
      <c r="J8" s="145"/>
      <c r="K8" s="146"/>
    </row>
    <row r="9" spans="1:11" s="1" customFormat="1" ht="9" customHeight="1">
      <c r="A9" s="3"/>
      <c r="B9" s="4"/>
      <c r="C9" s="4"/>
      <c r="D9" s="5"/>
      <c r="E9" s="6"/>
      <c r="F9" s="5"/>
      <c r="G9" s="5"/>
      <c r="H9" s="5"/>
      <c r="I9" s="5"/>
      <c r="J9" s="5"/>
      <c r="K9" s="5"/>
    </row>
    <row r="10" spans="1:11" s="1" customFormat="1" ht="12.75">
      <c r="A10" s="3"/>
      <c r="B10" s="5"/>
      <c r="C10" s="5"/>
      <c r="D10" s="5"/>
      <c r="E10" s="6"/>
      <c r="F10" s="5"/>
      <c r="G10" s="5"/>
      <c r="H10" s="143" t="s">
        <v>6</v>
      </c>
      <c r="I10" s="143"/>
      <c r="J10" s="143"/>
      <c r="K10" s="143"/>
    </row>
    <row r="11" spans="1:11" s="1" customFormat="1" ht="7.5" customHeight="1">
      <c r="A11" s="3"/>
      <c r="B11" s="5"/>
      <c r="C11" s="5"/>
      <c r="D11" s="5"/>
      <c r="E11" s="6"/>
      <c r="F11" s="5"/>
      <c r="G11" s="5"/>
      <c r="H11" s="5"/>
      <c r="I11" s="5"/>
      <c r="J11" s="5"/>
      <c r="K11" s="5"/>
    </row>
    <row r="12" spans="1:11" s="12" customFormat="1" ht="12">
      <c r="A12" s="9"/>
      <c r="B12" s="10" t="s">
        <v>7</v>
      </c>
      <c r="C12" s="10" t="s">
        <v>7</v>
      </c>
      <c r="D12" s="10"/>
      <c r="E12" s="11" t="s">
        <v>8</v>
      </c>
      <c r="F12" s="10" t="s">
        <v>9</v>
      </c>
      <c r="G12" s="10"/>
      <c r="H12" s="10" t="s">
        <v>10</v>
      </c>
      <c r="I12" s="10" t="s">
        <v>82</v>
      </c>
      <c r="J12" s="10" t="s">
        <v>11</v>
      </c>
      <c r="K12" s="10" t="s">
        <v>83</v>
      </c>
    </row>
    <row r="13" spans="1:11" s="12" customFormat="1" ht="12">
      <c r="A13" s="13" t="s">
        <v>12</v>
      </c>
      <c r="B13" s="8" t="s">
        <v>13</v>
      </c>
      <c r="C13" s="8" t="s">
        <v>14</v>
      </c>
      <c r="D13" s="8" t="s">
        <v>15</v>
      </c>
      <c r="E13" s="14" t="s">
        <v>16</v>
      </c>
      <c r="F13" s="8" t="s">
        <v>17</v>
      </c>
      <c r="G13" s="15"/>
      <c r="H13" s="8" t="s">
        <v>18</v>
      </c>
      <c r="I13" s="8" t="s">
        <v>19</v>
      </c>
      <c r="J13" s="8" t="s">
        <v>20</v>
      </c>
      <c r="K13" s="8" t="s">
        <v>84</v>
      </c>
    </row>
    <row r="15" spans="1:11" ht="12.75">
      <c r="A15" s="3">
        <v>39173</v>
      </c>
      <c r="B15" s="16">
        <v>45447161.9</v>
      </c>
      <c r="C15" s="16">
        <f aca="true" t="shared" si="0" ref="C15:C26">B15-D15</f>
        <v>41573288.269999996</v>
      </c>
      <c r="D15" s="16">
        <v>3873873.63</v>
      </c>
      <c r="E15" s="17">
        <f>28770/30</f>
        <v>959</v>
      </c>
      <c r="F15" s="16">
        <v>134.64976120959335</v>
      </c>
      <c r="H15" s="16">
        <v>1936936.89</v>
      </c>
      <c r="I15" s="16">
        <f aca="true" t="shared" si="1" ref="I15:I24">D15*0.32</f>
        <v>1239639.5616</v>
      </c>
      <c r="J15" s="16">
        <f aca="true" t="shared" si="2" ref="J15:J24">D15*0.08</f>
        <v>309909.8904</v>
      </c>
      <c r="K15" s="16">
        <f aca="true" t="shared" si="3" ref="K15:K24">D15*0.1</f>
        <v>387387.363</v>
      </c>
    </row>
    <row r="16" spans="1:11" ht="12.75">
      <c r="A16" s="3">
        <v>39203</v>
      </c>
      <c r="B16" s="16">
        <v>46845529.800000004</v>
      </c>
      <c r="C16" s="16">
        <f t="shared" si="0"/>
        <v>42811906.50000001</v>
      </c>
      <c r="D16" s="16">
        <v>4033623.3</v>
      </c>
      <c r="E16" s="17">
        <f>29915/31</f>
        <v>965</v>
      </c>
      <c r="F16" s="16">
        <v>134.8361457462811</v>
      </c>
      <c r="H16" s="16">
        <v>2016811.72</v>
      </c>
      <c r="I16" s="16">
        <f t="shared" si="1"/>
        <v>1290759.456</v>
      </c>
      <c r="J16" s="16">
        <f t="shared" si="2"/>
        <v>322689.864</v>
      </c>
      <c r="K16" s="16">
        <f t="shared" si="3"/>
        <v>403362.33</v>
      </c>
    </row>
    <row r="17" spans="1:11" ht="12.75">
      <c r="A17" s="3">
        <v>39234</v>
      </c>
      <c r="B17" s="16">
        <v>47313718.81999999</v>
      </c>
      <c r="C17" s="16">
        <f t="shared" si="0"/>
        <v>43131429.269999996</v>
      </c>
      <c r="D17" s="16">
        <v>4182289.55</v>
      </c>
      <c r="E17" s="17">
        <f>28950/30</f>
        <v>965</v>
      </c>
      <c r="F17" s="16">
        <v>144.46596027633854</v>
      </c>
      <c r="H17" s="16">
        <v>2091144.85</v>
      </c>
      <c r="I17" s="16">
        <f t="shared" si="1"/>
        <v>1338332.656</v>
      </c>
      <c r="J17" s="16">
        <f t="shared" si="2"/>
        <v>334583.164</v>
      </c>
      <c r="K17" s="16">
        <f t="shared" si="3"/>
        <v>418228.955</v>
      </c>
    </row>
    <row r="18" spans="1:11" ht="12.75">
      <c r="A18" s="3">
        <v>39264</v>
      </c>
      <c r="B18" s="16">
        <v>46257617.04</v>
      </c>
      <c r="C18" s="16">
        <f t="shared" si="0"/>
        <v>42151666.12</v>
      </c>
      <c r="D18" s="16">
        <v>4105950.92</v>
      </c>
      <c r="E18" s="17">
        <f>29915/31</f>
        <v>965</v>
      </c>
      <c r="F18" s="16">
        <v>137.2539167641651</v>
      </c>
      <c r="H18" s="16">
        <v>2052975.56</v>
      </c>
      <c r="I18" s="16">
        <f t="shared" si="1"/>
        <v>1313904.2944</v>
      </c>
      <c r="J18" s="16">
        <f t="shared" si="2"/>
        <v>328476.0736</v>
      </c>
      <c r="K18" s="16">
        <f t="shared" si="3"/>
        <v>410595.092</v>
      </c>
    </row>
    <row r="19" spans="1:11" ht="12.75">
      <c r="A19" s="3">
        <v>39295</v>
      </c>
      <c r="B19" s="16">
        <v>38519209.22</v>
      </c>
      <c r="C19" s="16">
        <f t="shared" si="0"/>
        <v>35139376.06</v>
      </c>
      <c r="D19" s="16">
        <v>3379833.16</v>
      </c>
      <c r="E19" s="17">
        <f>29771/31</f>
        <v>960.3548387096774</v>
      </c>
      <c r="F19" s="16">
        <v>113.52770011084608</v>
      </c>
      <c r="H19" s="16">
        <v>1689916.67</v>
      </c>
      <c r="I19" s="16">
        <f t="shared" si="1"/>
        <v>1081546.6112000002</v>
      </c>
      <c r="J19" s="16">
        <f t="shared" si="2"/>
        <v>270386.65280000004</v>
      </c>
      <c r="K19" s="16">
        <f t="shared" si="3"/>
        <v>337983.31600000005</v>
      </c>
    </row>
    <row r="20" spans="1:11" ht="12.75">
      <c r="A20" s="3">
        <v>39326</v>
      </c>
      <c r="B20" s="16">
        <v>41592667.87</v>
      </c>
      <c r="C20" s="16">
        <f t="shared" si="0"/>
        <v>37901041.08</v>
      </c>
      <c r="D20" s="16">
        <v>3691626.79</v>
      </c>
      <c r="E20" s="17">
        <f>28770/30</f>
        <v>959</v>
      </c>
      <c r="F20" s="16">
        <f>D20/E20/30</f>
        <v>128.3151473757386</v>
      </c>
      <c r="H20" s="16">
        <f>D20*0.5</f>
        <v>1845813.395</v>
      </c>
      <c r="I20" s="16">
        <f t="shared" si="1"/>
        <v>1181320.5728</v>
      </c>
      <c r="J20" s="16">
        <f t="shared" si="2"/>
        <v>295330.1432</v>
      </c>
      <c r="K20" s="16">
        <f t="shared" si="3"/>
        <v>369162.679</v>
      </c>
    </row>
    <row r="21" spans="1:11" ht="12.75">
      <c r="A21" s="3">
        <v>39356</v>
      </c>
      <c r="B21" s="16">
        <v>42431539.13</v>
      </c>
      <c r="C21" s="16">
        <f t="shared" si="0"/>
        <v>38655478.13</v>
      </c>
      <c r="D21" s="16">
        <v>3776061</v>
      </c>
      <c r="E21" s="17">
        <f>29729/31</f>
        <v>959</v>
      </c>
      <c r="F21" s="16">
        <f>D21/E21/31</f>
        <v>127.01607857647416</v>
      </c>
      <c r="H21" s="16">
        <f>D21*0.5</f>
        <v>1888030.5</v>
      </c>
      <c r="I21" s="16">
        <f t="shared" si="1"/>
        <v>1208339.52</v>
      </c>
      <c r="J21" s="16">
        <f t="shared" si="2"/>
        <v>302084.88</v>
      </c>
      <c r="K21" s="16">
        <f t="shared" si="3"/>
        <v>377606.10000000003</v>
      </c>
    </row>
    <row r="22" spans="1:11" ht="12.75">
      <c r="A22" s="3">
        <v>39387</v>
      </c>
      <c r="B22" s="16">
        <v>40197058.86</v>
      </c>
      <c r="C22" s="16">
        <f t="shared" si="0"/>
        <v>36688388.87</v>
      </c>
      <c r="D22" s="16">
        <v>3508669.99</v>
      </c>
      <c r="E22" s="17">
        <v>959</v>
      </c>
      <c r="F22" s="16">
        <f>D22/E22/30</f>
        <v>121.95585644768857</v>
      </c>
      <c r="H22" s="16">
        <v>1754335.06</v>
      </c>
      <c r="I22" s="16">
        <f t="shared" si="1"/>
        <v>1122774.3968</v>
      </c>
      <c r="J22" s="16">
        <f t="shared" si="2"/>
        <v>280693.5992</v>
      </c>
      <c r="K22" s="16">
        <f t="shared" si="3"/>
        <v>350866.99900000007</v>
      </c>
    </row>
    <row r="23" spans="1:11" ht="12.75">
      <c r="A23" s="3">
        <v>39417</v>
      </c>
      <c r="B23" s="16">
        <v>40114986.47</v>
      </c>
      <c r="C23" s="16">
        <f t="shared" si="0"/>
        <v>36562272.67</v>
      </c>
      <c r="D23" s="16">
        <v>3552713.8</v>
      </c>
      <c r="E23" s="17">
        <v>959</v>
      </c>
      <c r="F23" s="16">
        <f>D23/E23/31</f>
        <v>119.50330653570587</v>
      </c>
      <c r="H23" s="16">
        <f>D23*0.5</f>
        <v>1776356.9</v>
      </c>
      <c r="I23" s="16">
        <f t="shared" si="1"/>
        <v>1136868.416</v>
      </c>
      <c r="J23" s="16">
        <f t="shared" si="2"/>
        <v>284217.104</v>
      </c>
      <c r="K23" s="16">
        <f t="shared" si="3"/>
        <v>355271.38</v>
      </c>
    </row>
    <row r="24" spans="1:11" ht="12.75">
      <c r="A24" s="3">
        <v>39448</v>
      </c>
      <c r="B24" s="16">
        <v>40945600.2</v>
      </c>
      <c r="C24" s="16">
        <f t="shared" si="0"/>
        <v>37306513.43</v>
      </c>
      <c r="D24" s="16">
        <v>3639086.77</v>
      </c>
      <c r="E24" s="17">
        <v>959</v>
      </c>
      <c r="F24" s="16">
        <f>D24/E24/31</f>
        <v>122.40865047596623</v>
      </c>
      <c r="H24" s="16">
        <f>D24*0.5</f>
        <v>1819543.385</v>
      </c>
      <c r="I24" s="16">
        <f t="shared" si="1"/>
        <v>1164507.7664</v>
      </c>
      <c r="J24" s="16">
        <f t="shared" si="2"/>
        <v>291126.9416</v>
      </c>
      <c r="K24" s="16">
        <f t="shared" si="3"/>
        <v>363908.677</v>
      </c>
    </row>
    <row r="25" spans="1:11" ht="12.75">
      <c r="A25" s="3">
        <v>39479</v>
      </c>
      <c r="B25" s="16">
        <v>43925561.06</v>
      </c>
      <c r="C25" s="16">
        <f t="shared" si="0"/>
        <v>40000596.14</v>
      </c>
      <c r="D25" s="16">
        <v>3924964.92</v>
      </c>
      <c r="E25" s="17">
        <v>959</v>
      </c>
      <c r="F25" s="16">
        <f>D25/E25/29</f>
        <v>141.1299457049369</v>
      </c>
      <c r="H25" s="16">
        <f>D25*0.5</f>
        <v>1962482.46</v>
      </c>
      <c r="I25" s="16">
        <f>D25*0.32</f>
        <v>1255988.7744</v>
      </c>
      <c r="J25" s="16">
        <f>D25*0.08</f>
        <v>313997.1936</v>
      </c>
      <c r="K25" s="16">
        <f>D25*0.1</f>
        <v>392496.492</v>
      </c>
    </row>
    <row r="26" spans="1:11" ht="12.75">
      <c r="A26" s="3">
        <v>39508</v>
      </c>
      <c r="B26" s="16">
        <v>50336853.23</v>
      </c>
      <c r="C26" s="16">
        <f t="shared" si="0"/>
        <v>45903590.76</v>
      </c>
      <c r="D26" s="16">
        <v>4433262.47</v>
      </c>
      <c r="E26" s="17">
        <v>959</v>
      </c>
      <c r="F26" s="16">
        <f>D26/E26/31</f>
        <v>149.12248881563457</v>
      </c>
      <c r="H26" s="16">
        <f>D26*0.5</f>
        <v>2216631.235</v>
      </c>
      <c r="I26" s="16">
        <f>D26*0.32</f>
        <v>1418643.9904</v>
      </c>
      <c r="J26" s="16">
        <f>D26*0.08</f>
        <v>354660.9976</v>
      </c>
      <c r="K26" s="16">
        <f>D26*0.1</f>
        <v>443326.247</v>
      </c>
    </row>
    <row r="27" spans="1:11" ht="13.5" thickBot="1">
      <c r="A27" s="3" t="s">
        <v>21</v>
      </c>
      <c r="B27" s="19">
        <f>SUM(B15:B26)</f>
        <v>523927503.6</v>
      </c>
      <c r="C27" s="19">
        <f>SUM(C15:C26)</f>
        <v>477825547.3</v>
      </c>
      <c r="D27" s="19">
        <f>SUM(D15:D26)</f>
        <v>46101956.300000004</v>
      </c>
      <c r="H27" s="19">
        <f>SUM(H15:H26)</f>
        <v>23050978.625</v>
      </c>
      <c r="I27" s="19">
        <f>SUM(I15:I26)</f>
        <v>14752626.015999999</v>
      </c>
      <c r="J27" s="19">
        <f>SUM(J15:J26)</f>
        <v>3688156.5039999997</v>
      </c>
      <c r="K27" s="19">
        <f>SUM(K15:K26)</f>
        <v>4610195.630000001</v>
      </c>
    </row>
    <row r="28" spans="2:11" ht="10.5" customHeight="1" thickTop="1">
      <c r="B28" s="20"/>
      <c r="C28" s="20"/>
      <c r="D28" s="20"/>
      <c r="H28" s="20"/>
      <c r="I28" s="20"/>
      <c r="J28" s="20"/>
      <c r="K28" s="20"/>
    </row>
    <row r="29" spans="1:11" s="23" customFormat="1" ht="12.75">
      <c r="A29" s="21"/>
      <c r="B29" s="22"/>
      <c r="C29" s="22">
        <f>C27/B27</f>
        <v>0.9120069933660188</v>
      </c>
      <c r="D29" s="22">
        <f>D27/B27</f>
        <v>0.08799300663398119</v>
      </c>
      <c r="H29" s="22">
        <f>H27/$D$27</f>
        <v>0.5000000103032504</v>
      </c>
      <c r="I29" s="22">
        <f>I27/$D$27</f>
        <v>0.31999999999999995</v>
      </c>
      <c r="J29" s="22">
        <f>J27/$D$27</f>
        <v>0.07999999999999999</v>
      </c>
      <c r="K29" s="22">
        <f>K27/$D$27</f>
        <v>0.1</v>
      </c>
    </row>
    <row r="31" spans="1:11" s="24" customFormat="1" ht="12.75">
      <c r="A31" s="144" t="s">
        <v>22</v>
      </c>
      <c r="B31" s="145"/>
      <c r="C31" s="145"/>
      <c r="D31" s="145"/>
      <c r="E31" s="145"/>
      <c r="F31" s="145"/>
      <c r="G31" s="145"/>
      <c r="H31" s="145"/>
      <c r="I31" s="145"/>
      <c r="J31" s="145"/>
      <c r="K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1" ht="6" customHeight="1">
      <c r="A35" s="26"/>
      <c r="B35" s="27"/>
      <c r="C35" s="27"/>
      <c r="E35" s="27"/>
      <c r="F35" s="27"/>
      <c r="G35" s="27"/>
      <c r="H35" s="27"/>
      <c r="I35" s="27"/>
      <c r="J35" s="27"/>
      <c r="K35" s="27"/>
    </row>
    <row r="36" spans="1:11" ht="12.75">
      <c r="A36" s="26" t="s">
        <v>24</v>
      </c>
      <c r="B36" s="27"/>
      <c r="C36" s="27" t="s">
        <v>25</v>
      </c>
      <c r="E36" s="27"/>
      <c r="F36" s="27"/>
      <c r="G36" s="27"/>
      <c r="H36" s="27"/>
      <c r="I36" s="27"/>
      <c r="J36" s="27"/>
      <c r="K36" s="27"/>
    </row>
    <row r="37" spans="1:11" ht="6" customHeight="1">
      <c r="A37" s="26"/>
      <c r="B37" s="27"/>
      <c r="C37" s="27"/>
      <c r="E37" s="27"/>
      <c r="F37" s="27"/>
      <c r="G37" s="27"/>
      <c r="H37" s="27"/>
      <c r="I37" s="27"/>
      <c r="J37" s="27"/>
      <c r="K37" s="27"/>
    </row>
    <row r="38" spans="1:11" ht="12.75">
      <c r="A38" s="26" t="s">
        <v>26</v>
      </c>
      <c r="B38" s="27"/>
      <c r="C38" s="27" t="s">
        <v>27</v>
      </c>
      <c r="E38" s="28"/>
      <c r="F38" s="27"/>
      <c r="G38" s="27"/>
      <c r="H38" s="27"/>
      <c r="I38" s="27"/>
      <c r="J38" s="27"/>
      <c r="K38" s="27"/>
    </row>
    <row r="39" spans="1:11" ht="12.75">
      <c r="A39" s="26"/>
      <c r="B39" s="27"/>
      <c r="C39" s="27" t="s">
        <v>28</v>
      </c>
      <c r="E39" s="28"/>
      <c r="F39" s="27"/>
      <c r="G39" s="27"/>
      <c r="H39" s="27"/>
      <c r="I39" s="27"/>
      <c r="J39" s="27"/>
      <c r="K39" s="27"/>
    </row>
    <row r="40" spans="1:11" ht="6" customHeight="1">
      <c r="A40" s="26"/>
      <c r="B40" s="27"/>
      <c r="C40" s="27"/>
      <c r="E40" s="28"/>
      <c r="F40" s="27"/>
      <c r="G40" s="27"/>
      <c r="H40" s="27"/>
      <c r="I40" s="27"/>
      <c r="J40" s="27"/>
      <c r="K40" s="27"/>
    </row>
    <row r="41" spans="1:11" ht="12.75">
      <c r="A41" s="26" t="s">
        <v>29</v>
      </c>
      <c r="B41" s="27"/>
      <c r="C41" s="27" t="s">
        <v>30</v>
      </c>
      <c r="E41" s="28"/>
      <c r="F41" s="27"/>
      <c r="G41" s="27"/>
      <c r="H41" s="27"/>
      <c r="I41" s="27"/>
      <c r="J41" s="27"/>
      <c r="K41" s="27"/>
    </row>
    <row r="42" spans="1:11" ht="6" customHeight="1">
      <c r="A42" s="26"/>
      <c r="B42" s="27"/>
      <c r="C42" s="27"/>
      <c r="E42" s="28"/>
      <c r="F42" s="27"/>
      <c r="G42" s="27"/>
      <c r="H42" s="27"/>
      <c r="I42" s="27"/>
      <c r="J42" s="27"/>
      <c r="K42" s="27"/>
    </row>
    <row r="43" spans="1:12" s="47" customFormat="1" ht="12.75">
      <c r="A43" s="26" t="s">
        <v>76</v>
      </c>
      <c r="B43" s="44"/>
      <c r="C43" s="44" t="s">
        <v>77</v>
      </c>
      <c r="D43" s="45"/>
      <c r="E43" s="46"/>
      <c r="F43" s="44"/>
      <c r="G43" s="44"/>
      <c r="H43" s="44"/>
      <c r="I43" s="44"/>
      <c r="J43" s="44"/>
      <c r="K43" s="44"/>
      <c r="L43" s="44"/>
    </row>
    <row r="44" spans="1:12" s="47" customFormat="1" ht="12.75">
      <c r="A44" s="26"/>
      <c r="B44" s="44"/>
      <c r="C44" s="44" t="s">
        <v>85</v>
      </c>
      <c r="D44" s="45"/>
      <c r="E44" s="46"/>
      <c r="F44" s="44"/>
      <c r="G44" s="44"/>
      <c r="H44" s="44"/>
      <c r="I44" s="44"/>
      <c r="J44" s="44"/>
      <c r="K44" s="44"/>
      <c r="L44" s="44"/>
    </row>
    <row r="45" spans="1:12" s="47" customFormat="1" ht="12.75">
      <c r="A45" s="26"/>
      <c r="B45" s="44"/>
      <c r="C45" s="44" t="s">
        <v>86</v>
      </c>
      <c r="D45" s="45"/>
      <c r="E45" s="46"/>
      <c r="F45" s="44"/>
      <c r="G45" s="44"/>
      <c r="H45" s="44"/>
      <c r="I45" s="44"/>
      <c r="J45" s="44"/>
      <c r="K45" s="44"/>
      <c r="L45" s="44"/>
    </row>
    <row r="46" spans="1:11" ht="6" customHeight="1">
      <c r="A46" s="26"/>
      <c r="B46" s="27"/>
      <c r="C46" s="27"/>
      <c r="E46" s="28"/>
      <c r="F46" s="27"/>
      <c r="G46" s="27"/>
      <c r="H46" s="27"/>
      <c r="I46" s="27"/>
      <c r="J46" s="27"/>
      <c r="K46" s="27"/>
    </row>
    <row r="47" spans="1:12" s="47" customFormat="1" ht="12.75">
      <c r="A47" s="26" t="s">
        <v>31</v>
      </c>
      <c r="B47" s="44"/>
      <c r="C47" s="44" t="s">
        <v>78</v>
      </c>
      <c r="D47" s="45"/>
      <c r="E47" s="46"/>
      <c r="F47" s="44"/>
      <c r="G47" s="44"/>
      <c r="H47" s="44"/>
      <c r="I47" s="44"/>
      <c r="J47" s="44"/>
      <c r="K47" s="44"/>
      <c r="L47" s="44"/>
    </row>
    <row r="48" spans="1:12" s="47" customFormat="1" ht="12.75">
      <c r="A48" s="26"/>
      <c r="B48" s="44"/>
      <c r="C48" s="44" t="s">
        <v>79</v>
      </c>
      <c r="D48" s="45"/>
      <c r="E48" s="46"/>
      <c r="F48" s="44"/>
      <c r="G48" s="44"/>
      <c r="H48" s="44"/>
      <c r="I48" s="44"/>
      <c r="J48" s="44"/>
      <c r="K48" s="44"/>
      <c r="L48" s="44"/>
    </row>
    <row r="49" spans="1:11" ht="6" customHeight="1">
      <c r="A49" s="26"/>
      <c r="B49" s="27"/>
      <c r="C49" s="27"/>
      <c r="E49" s="28"/>
      <c r="F49" s="27"/>
      <c r="G49" s="27"/>
      <c r="H49" s="27"/>
      <c r="I49" s="27"/>
      <c r="J49" s="27"/>
      <c r="K49" s="27"/>
    </row>
    <row r="50" spans="1:12" s="47" customFormat="1" ht="12.75">
      <c r="A50" s="26" t="s">
        <v>88</v>
      </c>
      <c r="B50" s="44"/>
      <c r="C50" s="44" t="s">
        <v>80</v>
      </c>
      <c r="D50" s="45"/>
      <c r="E50" s="46"/>
      <c r="F50" s="44"/>
      <c r="G50" s="44"/>
      <c r="H50" s="44"/>
      <c r="I50" s="44"/>
      <c r="J50" s="44"/>
      <c r="K50" s="44"/>
      <c r="L50" s="44"/>
    </row>
    <row r="51" spans="1:12" s="47" customFormat="1" ht="12.75">
      <c r="A51" s="29"/>
      <c r="B51" s="44"/>
      <c r="C51" s="44" t="s">
        <v>81</v>
      </c>
      <c r="D51" s="45"/>
      <c r="E51" s="46"/>
      <c r="F51" s="44"/>
      <c r="G51" s="44"/>
      <c r="H51" s="44"/>
      <c r="I51" s="44"/>
      <c r="J51" s="44"/>
      <c r="K51" s="44"/>
      <c r="L51" s="44"/>
    </row>
    <row r="52" spans="1:11" ht="12.75">
      <c r="A52" s="30"/>
      <c r="B52" s="31"/>
      <c r="C52" s="31"/>
      <c r="D52" s="31"/>
      <c r="E52" s="32"/>
      <c r="F52" s="31"/>
      <c r="G52" s="31"/>
      <c r="H52" s="31"/>
      <c r="I52" s="31"/>
      <c r="J52" s="31"/>
      <c r="K52" s="31"/>
    </row>
    <row r="53" spans="1:11" s="24" customFormat="1" ht="12.75">
      <c r="A53" s="144" t="s">
        <v>32</v>
      </c>
      <c r="B53" s="145"/>
      <c r="C53" s="145"/>
      <c r="D53" s="145"/>
      <c r="E53" s="145"/>
      <c r="F53" s="145"/>
      <c r="G53" s="145"/>
      <c r="H53" s="145"/>
      <c r="I53" s="145"/>
      <c r="J53" s="145"/>
      <c r="K53" s="146"/>
    </row>
    <row r="54" ht="12.75">
      <c r="A54" s="25"/>
    </row>
    <row r="55" spans="1:11" ht="13.5">
      <c r="A55" s="33"/>
      <c r="F55" s="10" t="s">
        <v>10</v>
      </c>
      <c r="G55" s="34"/>
      <c r="H55" s="10" t="s">
        <v>82</v>
      </c>
      <c r="I55" s="10" t="s">
        <v>11</v>
      </c>
      <c r="J55" s="10" t="s">
        <v>83</v>
      </c>
      <c r="K55" s="35"/>
    </row>
    <row r="56" spans="1:11" ht="12.75">
      <c r="A56" s="36"/>
      <c r="F56" s="8" t="s">
        <v>18</v>
      </c>
      <c r="G56" s="37"/>
      <c r="H56" s="8" t="s">
        <v>19</v>
      </c>
      <c r="I56" s="8" t="s">
        <v>20</v>
      </c>
      <c r="J56" s="8" t="s">
        <v>84</v>
      </c>
      <c r="K56" s="35"/>
    </row>
    <row r="57" spans="2:11" ht="12.75">
      <c r="B57" s="40" t="s">
        <v>40</v>
      </c>
      <c r="C57" s="40"/>
      <c r="D57" s="27"/>
      <c r="E57" s="28"/>
      <c r="F57" s="41">
        <v>0.5</v>
      </c>
      <c r="G57" s="27"/>
      <c r="H57" s="41">
        <v>0.32</v>
      </c>
      <c r="I57" s="41">
        <v>0.08</v>
      </c>
      <c r="J57" s="41">
        <v>0.1</v>
      </c>
      <c r="K57" s="39"/>
    </row>
    <row r="58" spans="2:11" ht="12.75">
      <c r="B58" s="40" t="s">
        <v>41</v>
      </c>
      <c r="C58" s="40"/>
      <c r="D58" s="27"/>
      <c r="E58" s="28"/>
      <c r="F58" s="41">
        <v>0.53</v>
      </c>
      <c r="G58" s="27"/>
      <c r="H58" s="41">
        <v>0.29</v>
      </c>
      <c r="I58" s="41">
        <v>0.08</v>
      </c>
      <c r="J58" s="41">
        <v>0.1</v>
      </c>
      <c r="K58" s="39"/>
    </row>
    <row r="59" spans="2:11" ht="12.75">
      <c r="B59" s="40" t="s">
        <v>42</v>
      </c>
      <c r="C59" s="40"/>
      <c r="D59" s="27"/>
      <c r="E59" s="28"/>
      <c r="F59" s="41">
        <v>0.56</v>
      </c>
      <c r="G59" s="27"/>
      <c r="H59" s="41">
        <v>0.29</v>
      </c>
      <c r="I59" s="41">
        <v>0.05</v>
      </c>
      <c r="J59" s="41">
        <v>0.1</v>
      </c>
      <c r="K59" s="39"/>
    </row>
    <row r="60" spans="2:11" ht="12.75">
      <c r="B60" s="40" t="s">
        <v>43</v>
      </c>
      <c r="C60" s="40"/>
      <c r="D60" s="27"/>
      <c r="E60" s="28"/>
      <c r="F60" s="41">
        <v>0.59</v>
      </c>
      <c r="G60" s="27"/>
      <c r="H60" s="41">
        <v>0.26</v>
      </c>
      <c r="I60" s="41">
        <v>0.05</v>
      </c>
      <c r="J60" s="41">
        <v>0.1</v>
      </c>
      <c r="K60" s="39"/>
    </row>
    <row r="61" ht="12.75">
      <c r="A61" s="25"/>
    </row>
    <row r="62" spans="1:11" s="24" customFormat="1" ht="12.75">
      <c r="A62" s="147" t="s">
        <v>46</v>
      </c>
      <c r="B62" s="148"/>
      <c r="C62" s="148"/>
      <c r="D62" s="148"/>
      <c r="E62" s="148"/>
      <c r="F62" s="148"/>
      <c r="G62" s="148"/>
      <c r="H62" s="148"/>
      <c r="I62" s="148"/>
      <c r="J62" s="148"/>
      <c r="K62" s="149"/>
    </row>
    <row r="63" spans="1:5" ht="12.75">
      <c r="A63" s="25"/>
      <c r="D63"/>
      <c r="E63" s="16"/>
    </row>
    <row r="64" spans="1:11" ht="51.75" customHeight="1">
      <c r="A64" s="151" t="s">
        <v>49</v>
      </c>
      <c r="B64" s="151"/>
      <c r="C64" s="151"/>
      <c r="D64" s="151"/>
      <c r="E64" s="151"/>
      <c r="F64" s="151"/>
      <c r="G64" s="151"/>
      <c r="H64" s="151"/>
      <c r="I64" s="151"/>
      <c r="J64" s="151"/>
      <c r="K64" s="151"/>
    </row>
    <row r="65" spans="1:5" ht="12.75">
      <c r="A65" s="16"/>
      <c r="D65"/>
      <c r="E65" s="16"/>
    </row>
    <row r="66" spans="2:4" ht="12.75">
      <c r="B66" s="25" t="s">
        <v>47</v>
      </c>
      <c r="C66" s="25"/>
      <c r="D66" s="16">
        <v>1184331</v>
      </c>
    </row>
    <row r="67" spans="2:4" ht="12.75">
      <c r="B67" s="25" t="s">
        <v>48</v>
      </c>
      <c r="C67" s="25"/>
      <c r="D67" s="16">
        <v>394777</v>
      </c>
    </row>
    <row r="68" spans="2:4" ht="12.75">
      <c r="B68" s="16" t="s">
        <v>33</v>
      </c>
      <c r="D68" s="16" t="s">
        <v>33</v>
      </c>
    </row>
    <row r="69" ht="12.75">
      <c r="D69" s="16" t="s">
        <v>33</v>
      </c>
    </row>
    <row r="70" ht="12.75">
      <c r="A70" s="25" t="s">
        <v>35</v>
      </c>
    </row>
  </sheetData>
  <sheetProtection/>
  <mergeCells count="11">
    <mergeCell ref="A62:K62"/>
    <mergeCell ref="A64:K64"/>
    <mergeCell ref="A31:K31"/>
    <mergeCell ref="A53:K53"/>
    <mergeCell ref="H10:K10"/>
    <mergeCell ref="A8:K8"/>
    <mergeCell ref="A1:K1"/>
    <mergeCell ref="A2:K2"/>
    <mergeCell ref="A3:K3"/>
    <mergeCell ref="A4:K4"/>
    <mergeCell ref="A5:K5"/>
  </mergeCells>
  <printOptions horizontalCentered="1"/>
  <pageMargins left="0.25" right="0.25" top="0.75" bottom="0.5" header="0.5" footer="0.5"/>
  <pageSetup fitToHeight="1" fitToWidth="1" horizontalDpi="600" verticalDpi="600" orientation="portrait" scale="7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L63"/>
  <sheetViews>
    <sheetView zoomScalePageLayoutView="0" workbookViewId="0" topLeftCell="A1">
      <selection activeCell="B29" sqref="B29"/>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4.57421875" style="16" customWidth="1"/>
    <col min="12" max="12" width="12.7109375" style="0" customWidth="1"/>
  </cols>
  <sheetData>
    <row r="1" spans="1:11" ht="18">
      <c r="A1" s="152" t="s">
        <v>0</v>
      </c>
      <c r="B1" s="152"/>
      <c r="C1" s="152"/>
      <c r="D1" s="152"/>
      <c r="E1" s="152"/>
      <c r="F1" s="152"/>
      <c r="G1" s="152"/>
      <c r="H1" s="152"/>
      <c r="I1" s="152"/>
      <c r="J1" s="152"/>
      <c r="K1" s="152"/>
    </row>
    <row r="2" spans="1:11" ht="15">
      <c r="A2" s="153" t="s">
        <v>1</v>
      </c>
      <c r="B2" s="153"/>
      <c r="C2" s="153"/>
      <c r="D2" s="153"/>
      <c r="E2" s="153"/>
      <c r="F2" s="153"/>
      <c r="G2" s="153"/>
      <c r="H2" s="153"/>
      <c r="I2" s="153"/>
      <c r="J2" s="153"/>
      <c r="K2" s="153"/>
    </row>
    <row r="3" spans="1:11" s="1" customFormat="1" ht="15">
      <c r="A3" s="153" t="s">
        <v>2</v>
      </c>
      <c r="B3" s="153"/>
      <c r="C3" s="153"/>
      <c r="D3" s="153"/>
      <c r="E3" s="153"/>
      <c r="F3" s="153"/>
      <c r="G3" s="153"/>
      <c r="H3" s="153"/>
      <c r="I3" s="153"/>
      <c r="J3" s="153"/>
      <c r="K3" s="153"/>
    </row>
    <row r="4" spans="1:11" s="1" customFormat="1" ht="14.25">
      <c r="A4" s="139" t="s">
        <v>3</v>
      </c>
      <c r="B4" s="139"/>
      <c r="C4" s="139"/>
      <c r="D4" s="139"/>
      <c r="E4" s="139"/>
      <c r="F4" s="139"/>
      <c r="G4" s="139"/>
      <c r="H4" s="139"/>
      <c r="I4" s="139"/>
      <c r="J4" s="139"/>
      <c r="K4" s="139"/>
    </row>
    <row r="5" spans="1:11" s="1" customFormat="1" ht="14.25">
      <c r="A5" s="154" t="s">
        <v>4</v>
      </c>
      <c r="B5" s="154"/>
      <c r="C5" s="154"/>
      <c r="D5" s="154"/>
      <c r="E5" s="154"/>
      <c r="F5" s="154"/>
      <c r="G5" s="154"/>
      <c r="H5" s="154"/>
      <c r="I5" s="154"/>
      <c r="J5" s="154"/>
      <c r="K5" s="154"/>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44" t="s">
        <v>44</v>
      </c>
      <c r="B8" s="145"/>
      <c r="C8" s="145"/>
      <c r="D8" s="145"/>
      <c r="E8" s="145"/>
      <c r="F8" s="145"/>
      <c r="G8" s="145"/>
      <c r="H8" s="145"/>
      <c r="I8" s="145"/>
      <c r="J8" s="145"/>
      <c r="K8" s="146"/>
    </row>
    <row r="9" spans="1:11" s="1" customFormat="1" ht="9" customHeight="1">
      <c r="A9" s="3"/>
      <c r="B9" s="4"/>
      <c r="C9" s="4"/>
      <c r="D9" s="5"/>
      <c r="E9" s="6"/>
      <c r="F9" s="5"/>
      <c r="G9" s="5"/>
      <c r="H9" s="5"/>
      <c r="I9" s="5"/>
      <c r="J9" s="5"/>
      <c r="K9" s="5"/>
    </row>
    <row r="10" spans="1:11" s="1" customFormat="1" ht="12.75">
      <c r="A10" s="3"/>
      <c r="B10" s="5"/>
      <c r="C10" s="5"/>
      <c r="D10" s="5"/>
      <c r="E10" s="6"/>
      <c r="F10" s="5"/>
      <c r="G10" s="5"/>
      <c r="H10" s="143" t="s">
        <v>6</v>
      </c>
      <c r="I10" s="143"/>
      <c r="J10" s="143"/>
      <c r="K10" s="143"/>
    </row>
    <row r="11" spans="1:11" s="1" customFormat="1" ht="7.5" customHeight="1">
      <c r="A11" s="3"/>
      <c r="B11" s="5"/>
      <c r="C11" s="5"/>
      <c r="D11" s="5"/>
      <c r="E11" s="6"/>
      <c r="F11" s="5"/>
      <c r="G11" s="5"/>
      <c r="H11" s="5"/>
      <c r="I11" s="5"/>
      <c r="J11" s="5"/>
      <c r="K11" s="5"/>
    </row>
    <row r="12" spans="1:11" s="12" customFormat="1" ht="12">
      <c r="A12" s="9"/>
      <c r="B12" s="10" t="s">
        <v>7</v>
      </c>
      <c r="C12" s="10" t="s">
        <v>7</v>
      </c>
      <c r="D12" s="10"/>
      <c r="E12" s="11" t="s">
        <v>8</v>
      </c>
      <c r="F12" s="10" t="s">
        <v>9</v>
      </c>
      <c r="G12" s="10"/>
      <c r="H12" s="10" t="s">
        <v>10</v>
      </c>
      <c r="I12" s="10" t="s">
        <v>82</v>
      </c>
      <c r="J12" s="10" t="s">
        <v>11</v>
      </c>
      <c r="K12" s="10" t="s">
        <v>83</v>
      </c>
    </row>
    <row r="13" spans="1:11" s="12" customFormat="1" ht="12">
      <c r="A13" s="13" t="s">
        <v>12</v>
      </c>
      <c r="B13" s="8" t="s">
        <v>13</v>
      </c>
      <c r="C13" s="8" t="s">
        <v>14</v>
      </c>
      <c r="D13" s="8" t="s">
        <v>15</v>
      </c>
      <c r="E13" s="14" t="s">
        <v>16</v>
      </c>
      <c r="F13" s="8" t="s">
        <v>17</v>
      </c>
      <c r="G13" s="15"/>
      <c r="H13" s="8" t="s">
        <v>18</v>
      </c>
      <c r="I13" s="8" t="s">
        <v>19</v>
      </c>
      <c r="J13" s="8" t="s">
        <v>20</v>
      </c>
      <c r="K13" s="8" t="s">
        <v>84</v>
      </c>
    </row>
    <row r="15" spans="1:11" ht="12.75">
      <c r="A15" s="3">
        <v>38808</v>
      </c>
      <c r="B15" s="16">
        <v>43054226.510000005</v>
      </c>
      <c r="C15" s="16">
        <f aca="true" t="shared" si="0" ref="C15:C26">B15-D15</f>
        <v>39324790.17</v>
      </c>
      <c r="D15" s="16">
        <v>3729436.34</v>
      </c>
      <c r="E15" s="17">
        <f>29700/30</f>
        <v>990</v>
      </c>
      <c r="F15" s="16">
        <v>125.57024713804712</v>
      </c>
      <c r="H15" s="16">
        <f aca="true" t="shared" si="1" ref="H15:H26">D15*0.5</f>
        <v>1864718.17</v>
      </c>
      <c r="I15" s="16">
        <f aca="true" t="shared" si="2" ref="I15:I26">D15*0.32</f>
        <v>1193419.6288</v>
      </c>
      <c r="J15" s="16">
        <f aca="true" t="shared" si="3" ref="J15:J26">D15*0.08</f>
        <v>298354.9072</v>
      </c>
      <c r="K15" s="16">
        <f aca="true" t="shared" si="4" ref="K15:K26">D15*0.1</f>
        <v>372943.634</v>
      </c>
    </row>
    <row r="16" spans="1:11" ht="12.75">
      <c r="A16" s="3">
        <v>38838</v>
      </c>
      <c r="B16" s="16">
        <v>40660402.54000001</v>
      </c>
      <c r="C16" s="16">
        <f t="shared" si="0"/>
        <v>37099482.57000001</v>
      </c>
      <c r="D16" s="16">
        <v>3560919.97</v>
      </c>
      <c r="E16" s="17">
        <f>30690/31</f>
        <v>990</v>
      </c>
      <c r="F16" s="16">
        <v>116.02867285760834</v>
      </c>
      <c r="H16" s="16">
        <f t="shared" si="1"/>
        <v>1780459.985</v>
      </c>
      <c r="I16" s="16">
        <f t="shared" si="2"/>
        <v>1139494.3904000001</v>
      </c>
      <c r="J16" s="16">
        <f t="shared" si="3"/>
        <v>284873.59760000004</v>
      </c>
      <c r="K16" s="16">
        <f t="shared" si="4"/>
        <v>356091.99700000003</v>
      </c>
    </row>
    <row r="17" spans="1:11" ht="12.75">
      <c r="A17" s="3">
        <v>38869</v>
      </c>
      <c r="B17" s="16">
        <v>42349382.35</v>
      </c>
      <c r="C17" s="16">
        <f t="shared" si="0"/>
        <v>38713833.550000004</v>
      </c>
      <c r="D17" s="16">
        <v>3635548.8</v>
      </c>
      <c r="E17" s="17">
        <f>29115/30</f>
        <v>970.5</v>
      </c>
      <c r="F17" s="16">
        <v>124.86858320453378</v>
      </c>
      <c r="H17" s="16">
        <f t="shared" si="1"/>
        <v>1817774.4</v>
      </c>
      <c r="I17" s="16">
        <f t="shared" si="2"/>
        <v>1163375.616</v>
      </c>
      <c r="J17" s="16">
        <f t="shared" si="3"/>
        <v>290843.904</v>
      </c>
      <c r="K17" s="16">
        <f t="shared" si="4"/>
        <v>363554.88</v>
      </c>
    </row>
    <row r="18" spans="1:11" ht="12.75">
      <c r="A18" s="3">
        <v>38899</v>
      </c>
      <c r="B18" s="16">
        <v>43192972.37999999</v>
      </c>
      <c r="C18" s="16">
        <f t="shared" si="0"/>
        <v>39279660.459999986</v>
      </c>
      <c r="D18" s="16">
        <v>3913311.92</v>
      </c>
      <c r="E18" s="17">
        <f>29729/31</f>
        <v>959</v>
      </c>
      <c r="F18" s="16">
        <v>131.632813750883</v>
      </c>
      <c r="H18" s="16">
        <f t="shared" si="1"/>
        <v>1956655.96</v>
      </c>
      <c r="I18" s="16">
        <f t="shared" si="2"/>
        <v>1252259.8144</v>
      </c>
      <c r="J18" s="16">
        <f t="shared" si="3"/>
        <v>313064.9536</v>
      </c>
      <c r="K18" s="16">
        <f t="shared" si="4"/>
        <v>391331.19200000004</v>
      </c>
    </row>
    <row r="19" spans="1:11" ht="12.75">
      <c r="A19" s="3">
        <v>38930</v>
      </c>
      <c r="B19" s="16">
        <v>35413964.06</v>
      </c>
      <c r="C19" s="16">
        <f t="shared" si="0"/>
        <v>32239632.85</v>
      </c>
      <c r="D19" s="16">
        <v>3174331.21</v>
      </c>
      <c r="E19" s="17">
        <f>29729/31</f>
        <v>959</v>
      </c>
      <c r="F19" s="16">
        <v>106.77557973695718</v>
      </c>
      <c r="H19" s="16">
        <f t="shared" si="1"/>
        <v>1587165.605</v>
      </c>
      <c r="I19" s="16">
        <f t="shared" si="2"/>
        <v>1015785.9872</v>
      </c>
      <c r="J19" s="16">
        <f t="shared" si="3"/>
        <v>253946.4968</v>
      </c>
      <c r="K19" s="16">
        <f t="shared" si="4"/>
        <v>317433.12100000004</v>
      </c>
    </row>
    <row r="20" spans="1:11" ht="12.75">
      <c r="A20" s="3">
        <v>38961</v>
      </c>
      <c r="B20" s="16">
        <v>39829645.9</v>
      </c>
      <c r="C20" s="16">
        <f t="shared" si="0"/>
        <v>36252473.07</v>
      </c>
      <c r="D20" s="16">
        <v>3577172.83</v>
      </c>
      <c r="E20" s="17">
        <f>28770/30</f>
        <v>959</v>
      </c>
      <c r="F20" s="16">
        <v>124.3369075425791</v>
      </c>
      <c r="H20" s="16">
        <f t="shared" si="1"/>
        <v>1788586.415</v>
      </c>
      <c r="I20" s="16">
        <f t="shared" si="2"/>
        <v>1144695.3056</v>
      </c>
      <c r="J20" s="16">
        <f t="shared" si="3"/>
        <v>286173.8264</v>
      </c>
      <c r="K20" s="16">
        <f t="shared" si="4"/>
        <v>357717.28300000005</v>
      </c>
    </row>
    <row r="21" spans="1:11" ht="12.75">
      <c r="A21" s="3">
        <v>38991</v>
      </c>
      <c r="B21" s="16">
        <v>36171883.95999999</v>
      </c>
      <c r="C21" s="16">
        <f t="shared" si="0"/>
        <v>33029437.609999992</v>
      </c>
      <c r="D21" s="16">
        <v>3142446.35</v>
      </c>
      <c r="E21" s="17">
        <f>29505/31</f>
        <v>951.7741935483871</v>
      </c>
      <c r="F21" s="16">
        <v>106.50555329605152</v>
      </c>
      <c r="H21" s="16">
        <f t="shared" si="1"/>
        <v>1571223.175</v>
      </c>
      <c r="I21" s="16">
        <f t="shared" si="2"/>
        <v>1005582.832</v>
      </c>
      <c r="J21" s="16">
        <f t="shared" si="3"/>
        <v>251395.708</v>
      </c>
      <c r="K21" s="16">
        <f t="shared" si="4"/>
        <v>314244.635</v>
      </c>
    </row>
    <row r="22" spans="1:11" ht="12.75">
      <c r="A22" s="3">
        <v>39022</v>
      </c>
      <c r="B22" s="16">
        <v>36298111.78</v>
      </c>
      <c r="C22" s="16">
        <f t="shared" si="0"/>
        <v>33076540.64</v>
      </c>
      <c r="D22" s="16">
        <v>3221571.14</v>
      </c>
      <c r="E22" s="17">
        <f>28722/30</f>
        <v>957.4</v>
      </c>
      <c r="F22" s="16">
        <v>112.1638862196226</v>
      </c>
      <c r="H22" s="16">
        <f t="shared" si="1"/>
        <v>1610785.57</v>
      </c>
      <c r="I22" s="16">
        <f t="shared" si="2"/>
        <v>1030902.7648000001</v>
      </c>
      <c r="J22" s="16">
        <f t="shared" si="3"/>
        <v>257725.69120000003</v>
      </c>
      <c r="K22" s="16">
        <f t="shared" si="4"/>
        <v>322157.11400000006</v>
      </c>
    </row>
    <row r="23" spans="1:11" ht="12.75">
      <c r="A23" s="3">
        <v>39052</v>
      </c>
      <c r="B23" s="16">
        <v>37770093.589999996</v>
      </c>
      <c r="C23" s="16">
        <f t="shared" si="0"/>
        <v>34476763.9</v>
      </c>
      <c r="D23" s="16">
        <v>3293329.69</v>
      </c>
      <c r="E23" s="17">
        <f>29729/31</f>
        <v>959</v>
      </c>
      <c r="F23" s="16">
        <v>110.7783541323287</v>
      </c>
      <c r="H23" s="16">
        <f t="shared" si="1"/>
        <v>1646664.845</v>
      </c>
      <c r="I23" s="16">
        <f t="shared" si="2"/>
        <v>1053865.5008</v>
      </c>
      <c r="J23" s="16">
        <f t="shared" si="3"/>
        <v>263466.3752</v>
      </c>
      <c r="K23" s="16">
        <f t="shared" si="4"/>
        <v>329332.96900000004</v>
      </c>
    </row>
    <row r="24" spans="1:11" ht="12.75">
      <c r="A24" s="3">
        <v>39083</v>
      </c>
      <c r="B24" s="16">
        <v>39329533.87</v>
      </c>
      <c r="C24" s="16">
        <f t="shared" si="0"/>
        <v>35802155.86</v>
      </c>
      <c r="D24" s="16">
        <v>3527378.01</v>
      </c>
      <c r="E24" s="17">
        <f>29729/31</f>
        <v>959</v>
      </c>
      <c r="F24" s="16">
        <v>118.65108177200712</v>
      </c>
      <c r="H24" s="16">
        <f t="shared" si="1"/>
        <v>1763689.005</v>
      </c>
      <c r="I24" s="16">
        <f t="shared" si="2"/>
        <v>1128760.9631999999</v>
      </c>
      <c r="J24" s="16">
        <f t="shared" si="3"/>
        <v>282190.24079999997</v>
      </c>
      <c r="K24" s="16">
        <f t="shared" si="4"/>
        <v>352737.801</v>
      </c>
    </row>
    <row r="25" spans="1:11" ht="12.75">
      <c r="A25" s="3">
        <v>39114</v>
      </c>
      <c r="B25" s="16">
        <v>34387090.57999999</v>
      </c>
      <c r="C25" s="16">
        <f t="shared" si="0"/>
        <v>31383883.00999999</v>
      </c>
      <c r="D25" s="16">
        <v>3003207.57</v>
      </c>
      <c r="E25" s="17">
        <f>26852/28</f>
        <v>959</v>
      </c>
      <c r="F25" s="16">
        <v>111.84297519737824</v>
      </c>
      <c r="H25" s="16">
        <f t="shared" si="1"/>
        <v>1501603.785</v>
      </c>
      <c r="I25" s="16">
        <f t="shared" si="2"/>
        <v>961026.4223999999</v>
      </c>
      <c r="J25" s="16">
        <f t="shared" si="3"/>
        <v>240256.60559999998</v>
      </c>
      <c r="K25" s="16">
        <f t="shared" si="4"/>
        <v>300320.757</v>
      </c>
    </row>
    <row r="26" spans="1:11" ht="12.75">
      <c r="A26" s="3">
        <v>39142</v>
      </c>
      <c r="B26" s="16">
        <v>48126797.559999995</v>
      </c>
      <c r="C26" s="16">
        <f t="shared" si="0"/>
        <v>43909293.38999999</v>
      </c>
      <c r="D26" s="16">
        <v>4217504.17</v>
      </c>
      <c r="E26" s="17">
        <f>29729/31</f>
        <v>959</v>
      </c>
      <c r="F26" s="16">
        <v>141.86498604056644</v>
      </c>
      <c r="H26" s="16">
        <f t="shared" si="1"/>
        <v>2108752.085</v>
      </c>
      <c r="I26" s="16">
        <f t="shared" si="2"/>
        <v>1349601.3344</v>
      </c>
      <c r="J26" s="16">
        <f t="shared" si="3"/>
        <v>337400.3336</v>
      </c>
      <c r="K26" s="16">
        <f t="shared" si="4"/>
        <v>421750.417</v>
      </c>
    </row>
    <row r="27" spans="1:11" ht="13.5" thickBot="1">
      <c r="A27" s="3" t="s">
        <v>21</v>
      </c>
      <c r="B27" s="19">
        <f>SUM(B15:B26)</f>
        <v>476584105.08</v>
      </c>
      <c r="C27" s="19">
        <f>SUM(C15:C26)</f>
        <v>434587947.0799999</v>
      </c>
      <c r="D27" s="19">
        <f>SUM(D15:D26)</f>
        <v>41996158.00000001</v>
      </c>
      <c r="H27" s="19">
        <f>SUM(H15:H26)</f>
        <v>20998079.000000004</v>
      </c>
      <c r="I27" s="19">
        <f>SUM(I15:I26)</f>
        <v>13438770.56</v>
      </c>
      <c r="J27" s="19">
        <f>SUM(J15:J26)</f>
        <v>3359692.64</v>
      </c>
      <c r="K27" s="19">
        <f>SUM(K15:K26)</f>
        <v>4199615.8</v>
      </c>
    </row>
    <row r="28" spans="2:11" ht="10.5" customHeight="1" thickTop="1">
      <c r="B28" s="20"/>
      <c r="C28" s="20"/>
      <c r="D28" s="20"/>
      <c r="H28" s="20"/>
      <c r="I28" s="20"/>
      <c r="J28" s="20"/>
      <c r="K28" s="20"/>
    </row>
    <row r="29" spans="1:11" s="23" customFormat="1" ht="12.75">
      <c r="A29" s="21"/>
      <c r="B29" s="22"/>
      <c r="C29" s="22">
        <f>C27/B27</f>
        <v>0.9118809092616496</v>
      </c>
      <c r="D29" s="22">
        <f>D27/B27</f>
        <v>0.08811909073835034</v>
      </c>
      <c r="H29" s="22">
        <f>H27/$D$27</f>
        <v>0.5</v>
      </c>
      <c r="I29" s="22">
        <f>I27/$D$27</f>
        <v>0.31999999999999995</v>
      </c>
      <c r="J29" s="22">
        <f>J27/$D$27</f>
        <v>0.07999999999999999</v>
      </c>
      <c r="K29" s="22">
        <f>K27/$D$27</f>
        <v>0.09999999999999998</v>
      </c>
    </row>
    <row r="31" spans="1:11" s="24" customFormat="1" ht="12.75">
      <c r="A31" s="144" t="s">
        <v>22</v>
      </c>
      <c r="B31" s="145"/>
      <c r="C31" s="145"/>
      <c r="D31" s="145"/>
      <c r="E31" s="145"/>
      <c r="F31" s="145"/>
      <c r="G31" s="145"/>
      <c r="H31" s="145"/>
      <c r="I31" s="145"/>
      <c r="J31" s="145"/>
      <c r="K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1" ht="6" customHeight="1">
      <c r="A35" s="26"/>
      <c r="B35" s="27"/>
      <c r="C35" s="27"/>
      <c r="E35" s="27"/>
      <c r="F35" s="27"/>
      <c r="G35" s="27"/>
      <c r="H35" s="27"/>
      <c r="I35" s="27"/>
      <c r="J35" s="27"/>
      <c r="K35" s="27"/>
    </row>
    <row r="36" spans="1:11" ht="12.75">
      <c r="A36" s="26" t="s">
        <v>24</v>
      </c>
      <c r="B36" s="27"/>
      <c r="C36" s="27" t="s">
        <v>25</v>
      </c>
      <c r="E36" s="27"/>
      <c r="F36" s="27"/>
      <c r="G36" s="27"/>
      <c r="H36" s="27"/>
      <c r="I36" s="27"/>
      <c r="J36" s="27"/>
      <c r="K36" s="27"/>
    </row>
    <row r="37" spans="1:11" ht="6" customHeight="1">
      <c r="A37" s="26"/>
      <c r="B37" s="27"/>
      <c r="C37" s="27"/>
      <c r="E37" s="27"/>
      <c r="F37" s="27"/>
      <c r="G37" s="27"/>
      <c r="H37" s="27"/>
      <c r="I37" s="27"/>
      <c r="J37" s="27"/>
      <c r="K37" s="27"/>
    </row>
    <row r="38" spans="1:11" ht="12.75">
      <c r="A38" s="26" t="s">
        <v>26</v>
      </c>
      <c r="B38" s="27"/>
      <c r="C38" s="27" t="s">
        <v>27</v>
      </c>
      <c r="E38" s="28"/>
      <c r="F38" s="27"/>
      <c r="G38" s="27"/>
      <c r="H38" s="27"/>
      <c r="I38" s="27"/>
      <c r="J38" s="27"/>
      <c r="K38" s="27"/>
    </row>
    <row r="39" spans="1:11" ht="12.75">
      <c r="A39" s="26"/>
      <c r="B39" s="27"/>
      <c r="C39" s="27" t="s">
        <v>28</v>
      </c>
      <c r="E39" s="28"/>
      <c r="F39" s="27"/>
      <c r="G39" s="27"/>
      <c r="H39" s="27"/>
      <c r="I39" s="27"/>
      <c r="J39" s="27"/>
      <c r="K39" s="27"/>
    </row>
    <row r="40" spans="1:11" ht="6" customHeight="1">
      <c r="A40" s="26"/>
      <c r="B40" s="27"/>
      <c r="C40" s="27"/>
      <c r="E40" s="28"/>
      <c r="F40" s="27"/>
      <c r="G40" s="27"/>
      <c r="H40" s="27"/>
      <c r="I40" s="27"/>
      <c r="J40" s="27"/>
      <c r="K40" s="27"/>
    </row>
    <row r="41" spans="1:11" ht="12.75">
      <c r="A41" s="26" t="s">
        <v>29</v>
      </c>
      <c r="B41" s="27"/>
      <c r="C41" s="27" t="s">
        <v>30</v>
      </c>
      <c r="E41" s="28"/>
      <c r="F41" s="27"/>
      <c r="G41" s="27"/>
      <c r="H41" s="27"/>
      <c r="I41" s="27"/>
      <c r="J41" s="27"/>
      <c r="K41" s="27"/>
    </row>
    <row r="42" spans="1:11" ht="6" customHeight="1">
      <c r="A42" s="26"/>
      <c r="B42" s="27"/>
      <c r="C42" s="27"/>
      <c r="E42" s="28"/>
      <c r="F42" s="27"/>
      <c r="G42" s="27"/>
      <c r="H42" s="27"/>
      <c r="I42" s="27"/>
      <c r="J42" s="27"/>
      <c r="K42" s="27"/>
    </row>
    <row r="43" spans="1:12" s="47" customFormat="1" ht="12.75">
      <c r="A43" s="26" t="s">
        <v>76</v>
      </c>
      <c r="B43" s="44"/>
      <c r="C43" s="44" t="s">
        <v>77</v>
      </c>
      <c r="D43" s="45"/>
      <c r="E43" s="46"/>
      <c r="F43" s="44"/>
      <c r="G43" s="44"/>
      <c r="H43" s="44"/>
      <c r="I43" s="44"/>
      <c r="J43" s="44"/>
      <c r="K43" s="44"/>
      <c r="L43" s="44"/>
    </row>
    <row r="44" spans="1:12" s="47" customFormat="1" ht="12.75">
      <c r="A44" s="26"/>
      <c r="B44" s="44"/>
      <c r="C44" s="44" t="s">
        <v>85</v>
      </c>
      <c r="D44" s="45"/>
      <c r="E44" s="46"/>
      <c r="F44" s="44"/>
      <c r="G44" s="44"/>
      <c r="H44" s="44"/>
      <c r="I44" s="44"/>
      <c r="J44" s="44"/>
      <c r="K44" s="44"/>
      <c r="L44" s="44"/>
    </row>
    <row r="45" spans="1:12" s="47" customFormat="1" ht="12.75">
      <c r="A45" s="26"/>
      <c r="B45" s="44"/>
      <c r="C45" s="44" t="s">
        <v>86</v>
      </c>
      <c r="D45" s="45"/>
      <c r="E45" s="46"/>
      <c r="F45" s="44"/>
      <c r="G45" s="44"/>
      <c r="H45" s="44"/>
      <c r="I45" s="44"/>
      <c r="J45" s="44"/>
      <c r="K45" s="44"/>
      <c r="L45" s="44"/>
    </row>
    <row r="46" spans="1:11" ht="6" customHeight="1">
      <c r="A46" s="26"/>
      <c r="B46" s="27"/>
      <c r="C46" s="27"/>
      <c r="E46" s="28"/>
      <c r="F46" s="27"/>
      <c r="G46" s="27"/>
      <c r="H46" s="27"/>
      <c r="I46" s="27"/>
      <c r="J46" s="27"/>
      <c r="K46" s="27"/>
    </row>
    <row r="47" spans="1:12" s="47" customFormat="1" ht="12.75">
      <c r="A47" s="26" t="s">
        <v>31</v>
      </c>
      <c r="B47" s="44"/>
      <c r="C47" s="44" t="s">
        <v>78</v>
      </c>
      <c r="D47" s="45"/>
      <c r="E47" s="46"/>
      <c r="F47" s="44"/>
      <c r="G47" s="44"/>
      <c r="H47" s="44"/>
      <c r="I47" s="44"/>
      <c r="J47" s="44"/>
      <c r="K47" s="44"/>
      <c r="L47" s="44"/>
    </row>
    <row r="48" spans="1:12" s="47" customFormat="1" ht="12.75">
      <c r="A48" s="26"/>
      <c r="B48" s="44"/>
      <c r="C48" s="44" t="s">
        <v>79</v>
      </c>
      <c r="D48" s="45"/>
      <c r="E48" s="46"/>
      <c r="F48" s="44"/>
      <c r="G48" s="44"/>
      <c r="H48" s="44"/>
      <c r="I48" s="44"/>
      <c r="J48" s="44"/>
      <c r="K48" s="44"/>
      <c r="L48" s="44"/>
    </row>
    <row r="49" spans="1:11" ht="6" customHeight="1">
      <c r="A49" s="26"/>
      <c r="B49" s="27"/>
      <c r="C49" s="27"/>
      <c r="E49" s="28"/>
      <c r="F49" s="27"/>
      <c r="G49" s="27"/>
      <c r="H49" s="27"/>
      <c r="I49" s="27"/>
      <c r="J49" s="27"/>
      <c r="K49" s="27"/>
    </row>
    <row r="50" spans="1:12" s="47" customFormat="1" ht="12.75">
      <c r="A50" s="26" t="s">
        <v>88</v>
      </c>
      <c r="B50" s="44"/>
      <c r="C50" s="44" t="s">
        <v>80</v>
      </c>
      <c r="D50" s="45"/>
      <c r="E50" s="46"/>
      <c r="F50" s="44"/>
      <c r="G50" s="44"/>
      <c r="H50" s="44"/>
      <c r="I50" s="44"/>
      <c r="J50" s="44"/>
      <c r="K50" s="44"/>
      <c r="L50" s="44"/>
    </row>
    <row r="51" spans="1:12" s="47" customFormat="1" ht="12.75">
      <c r="A51" s="29"/>
      <c r="B51" s="44"/>
      <c r="C51" s="44" t="s">
        <v>81</v>
      </c>
      <c r="D51" s="45"/>
      <c r="E51" s="46"/>
      <c r="F51" s="44"/>
      <c r="G51" s="44"/>
      <c r="H51" s="44"/>
      <c r="I51" s="44"/>
      <c r="J51" s="44"/>
      <c r="K51" s="44"/>
      <c r="L51" s="44"/>
    </row>
    <row r="52" spans="1:11" ht="12.75">
      <c r="A52" s="30"/>
      <c r="B52" s="31"/>
      <c r="C52" s="31"/>
      <c r="D52" s="31"/>
      <c r="E52" s="32"/>
      <c r="F52" s="31"/>
      <c r="G52" s="31"/>
      <c r="H52" s="31"/>
      <c r="I52" s="31"/>
      <c r="J52" s="31"/>
      <c r="K52" s="31"/>
    </row>
    <row r="53" spans="1:11" s="24" customFormat="1" ht="12.75">
      <c r="A53" s="144" t="s">
        <v>32</v>
      </c>
      <c r="B53" s="145"/>
      <c r="C53" s="145"/>
      <c r="D53" s="145"/>
      <c r="E53" s="145"/>
      <c r="F53" s="145"/>
      <c r="G53" s="145"/>
      <c r="H53" s="145"/>
      <c r="I53" s="145"/>
      <c r="J53" s="145"/>
      <c r="K53" s="146"/>
    </row>
    <row r="54" ht="12.75">
      <c r="A54" s="25"/>
    </row>
    <row r="55" spans="1:11" ht="13.5">
      <c r="A55" s="33"/>
      <c r="F55" s="10" t="s">
        <v>10</v>
      </c>
      <c r="G55" s="34"/>
      <c r="H55" s="10" t="s">
        <v>82</v>
      </c>
      <c r="I55" s="10" t="s">
        <v>11</v>
      </c>
      <c r="J55" s="10" t="s">
        <v>83</v>
      </c>
      <c r="K55" s="35"/>
    </row>
    <row r="56" spans="1:11" ht="12.75">
      <c r="A56" s="36"/>
      <c r="F56" s="8" t="s">
        <v>18</v>
      </c>
      <c r="G56" s="37"/>
      <c r="H56" s="8" t="s">
        <v>19</v>
      </c>
      <c r="I56" s="8" t="s">
        <v>20</v>
      </c>
      <c r="J56" s="8" t="s">
        <v>84</v>
      </c>
      <c r="K56" s="35"/>
    </row>
    <row r="57" spans="2:11" ht="12.75">
      <c r="B57" s="40" t="s">
        <v>40</v>
      </c>
      <c r="C57" s="40"/>
      <c r="D57" s="27"/>
      <c r="E57" s="28"/>
      <c r="F57" s="41">
        <v>0.5</v>
      </c>
      <c r="G57" s="27"/>
      <c r="H57" s="41">
        <v>0.32</v>
      </c>
      <c r="I57" s="41">
        <v>0.08</v>
      </c>
      <c r="J57" s="41">
        <v>0.1</v>
      </c>
      <c r="K57" s="39"/>
    </row>
    <row r="58" spans="2:11" ht="12.75">
      <c r="B58" s="40" t="s">
        <v>41</v>
      </c>
      <c r="C58" s="40"/>
      <c r="D58" s="27"/>
      <c r="E58" s="28"/>
      <c r="F58" s="41">
        <v>0.53</v>
      </c>
      <c r="G58" s="27"/>
      <c r="H58" s="41">
        <v>0.29</v>
      </c>
      <c r="I58" s="41">
        <v>0.08</v>
      </c>
      <c r="J58" s="41">
        <v>0.1</v>
      </c>
      <c r="K58" s="39"/>
    </row>
    <row r="59" spans="2:11" ht="12.75">
      <c r="B59" s="40" t="s">
        <v>42</v>
      </c>
      <c r="C59" s="40"/>
      <c r="D59" s="27"/>
      <c r="E59" s="28"/>
      <c r="F59" s="41">
        <v>0.56</v>
      </c>
      <c r="G59" s="27"/>
      <c r="H59" s="41">
        <v>0.29</v>
      </c>
      <c r="I59" s="41">
        <v>0.05</v>
      </c>
      <c r="J59" s="41">
        <v>0.1</v>
      </c>
      <c r="K59" s="39"/>
    </row>
    <row r="60" spans="2:11" ht="12.75">
      <c r="B60" s="40" t="s">
        <v>43</v>
      </c>
      <c r="C60" s="40"/>
      <c r="D60" s="27"/>
      <c r="E60" s="28"/>
      <c r="F60" s="41">
        <v>0.59</v>
      </c>
      <c r="G60" s="27"/>
      <c r="H60" s="41">
        <v>0.26</v>
      </c>
      <c r="I60" s="41">
        <v>0.05</v>
      </c>
      <c r="J60" s="41">
        <v>0.1</v>
      </c>
      <c r="K60" s="39"/>
    </row>
    <row r="61" ht="12.75">
      <c r="A61" s="25"/>
    </row>
    <row r="62" ht="12.75">
      <c r="D62" s="16" t="s">
        <v>33</v>
      </c>
    </row>
    <row r="63" ht="12.75">
      <c r="A63" s="25" t="s">
        <v>35</v>
      </c>
    </row>
  </sheetData>
  <sheetProtection/>
  <mergeCells count="9">
    <mergeCell ref="A53:K53"/>
    <mergeCell ref="H10:K10"/>
    <mergeCell ref="A8:K8"/>
    <mergeCell ref="A5:K5"/>
    <mergeCell ref="A1:K1"/>
    <mergeCell ref="A2:K2"/>
    <mergeCell ref="A3:K3"/>
    <mergeCell ref="A4:K4"/>
    <mergeCell ref="A31:K31"/>
  </mergeCells>
  <printOptions horizontalCentered="1"/>
  <pageMargins left="0.25" right="0.25" top="0.75" bottom="0.5" header="0.5" footer="0.5"/>
  <pageSetup fitToHeight="1" fitToWidth="1" horizontalDpi="600" verticalDpi="600" orientation="portrait" scale="80"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B29" sqref="B29"/>
    </sheetView>
  </sheetViews>
  <sheetFormatPr defaultColWidth="9.140625" defaultRowHeight="12.75"/>
  <cols>
    <col min="1" max="1" width="9.28125" style="3" customWidth="1"/>
    <col min="2" max="3" width="14.140625" style="16" customWidth="1"/>
    <col min="4" max="4" width="13.140625" style="16" customWidth="1"/>
    <col min="5" max="5" width="8.8515625" style="17" customWidth="1"/>
    <col min="6" max="6" width="10.28125" style="16" customWidth="1"/>
    <col min="7" max="7" width="1.421875" style="16" customWidth="1"/>
    <col min="8" max="11" width="15.28125" style="16" customWidth="1"/>
    <col min="12" max="12" width="12.7109375" style="0" customWidth="1"/>
    <col min="13" max="18" width="9.57421875" style="0" customWidth="1"/>
  </cols>
  <sheetData>
    <row r="1" spans="1:11" ht="18">
      <c r="A1" s="152" t="s">
        <v>0</v>
      </c>
      <c r="B1" s="152"/>
      <c r="C1" s="152"/>
      <c r="D1" s="152"/>
      <c r="E1" s="152"/>
      <c r="F1" s="152"/>
      <c r="G1" s="152"/>
      <c r="H1" s="152"/>
      <c r="I1" s="152"/>
      <c r="J1" s="152"/>
      <c r="K1" s="152"/>
    </row>
    <row r="2" spans="1:11" ht="15">
      <c r="A2" s="153" t="s">
        <v>1</v>
      </c>
      <c r="B2" s="153"/>
      <c r="C2" s="153"/>
      <c r="D2" s="153"/>
      <c r="E2" s="153"/>
      <c r="F2" s="153"/>
      <c r="G2" s="153"/>
      <c r="H2" s="153"/>
      <c r="I2" s="153"/>
      <c r="J2" s="153"/>
      <c r="K2" s="153"/>
    </row>
    <row r="3" spans="1:11" s="1" customFormat="1" ht="15">
      <c r="A3" s="153" t="s">
        <v>2</v>
      </c>
      <c r="B3" s="153"/>
      <c r="C3" s="153"/>
      <c r="D3" s="153"/>
      <c r="E3" s="153"/>
      <c r="F3" s="153"/>
      <c r="G3" s="153"/>
      <c r="H3" s="153"/>
      <c r="I3" s="153"/>
      <c r="J3" s="153"/>
      <c r="K3" s="153"/>
    </row>
    <row r="4" spans="1:11" s="1" customFormat="1" ht="14.25">
      <c r="A4" s="139" t="s">
        <v>3</v>
      </c>
      <c r="B4" s="139"/>
      <c r="C4" s="139"/>
      <c r="D4" s="139"/>
      <c r="E4" s="139"/>
      <c r="F4" s="139"/>
      <c r="G4" s="139"/>
      <c r="H4" s="139"/>
      <c r="I4" s="139"/>
      <c r="J4" s="139"/>
      <c r="K4" s="139"/>
    </row>
    <row r="5" spans="1:11" s="1" customFormat="1" ht="14.25">
      <c r="A5" s="154" t="s">
        <v>4</v>
      </c>
      <c r="B5" s="154"/>
      <c r="C5" s="154"/>
      <c r="D5" s="154"/>
      <c r="E5" s="154"/>
      <c r="F5" s="154"/>
      <c r="G5" s="154"/>
      <c r="H5" s="154"/>
      <c r="I5" s="154"/>
      <c r="J5" s="154"/>
      <c r="K5" s="154"/>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44" t="s">
        <v>37</v>
      </c>
      <c r="B8" s="145"/>
      <c r="C8" s="145"/>
      <c r="D8" s="145"/>
      <c r="E8" s="145"/>
      <c r="F8" s="145"/>
      <c r="G8" s="145"/>
      <c r="H8" s="145"/>
      <c r="I8" s="145"/>
      <c r="J8" s="145"/>
      <c r="K8" s="146"/>
    </row>
    <row r="9" spans="1:11" s="1" customFormat="1" ht="9" customHeight="1">
      <c r="A9" s="3"/>
      <c r="B9" s="4"/>
      <c r="C9" s="4"/>
      <c r="D9" s="5"/>
      <c r="E9" s="6"/>
      <c r="F9" s="5"/>
      <c r="G9" s="5"/>
      <c r="H9" s="5"/>
      <c r="I9" s="5"/>
      <c r="J9" s="5"/>
      <c r="K9" s="5"/>
    </row>
    <row r="10" spans="1:11" s="1" customFormat="1" ht="12.75">
      <c r="A10" s="3"/>
      <c r="B10" s="5"/>
      <c r="C10" s="5"/>
      <c r="D10" s="5"/>
      <c r="E10" s="6"/>
      <c r="F10" s="5"/>
      <c r="G10" s="5"/>
      <c r="H10" s="143" t="s">
        <v>6</v>
      </c>
      <c r="I10" s="143"/>
      <c r="J10" s="143"/>
      <c r="K10" s="143"/>
    </row>
    <row r="11" spans="1:11" s="1" customFormat="1" ht="7.5" customHeight="1">
      <c r="A11" s="3"/>
      <c r="B11" s="5"/>
      <c r="C11" s="5"/>
      <c r="D11" s="5"/>
      <c r="E11" s="6"/>
      <c r="F11" s="5"/>
      <c r="G11" s="5"/>
      <c r="H11" s="5"/>
      <c r="I11" s="5"/>
      <c r="J11" s="5"/>
      <c r="K11" s="5"/>
    </row>
    <row r="12" spans="1:11" s="12" customFormat="1" ht="12">
      <c r="A12" s="9"/>
      <c r="B12" s="10" t="s">
        <v>7</v>
      </c>
      <c r="C12" s="10" t="s">
        <v>7</v>
      </c>
      <c r="D12" s="10"/>
      <c r="E12" s="11" t="s">
        <v>8</v>
      </c>
      <c r="F12" s="10" t="s">
        <v>9</v>
      </c>
      <c r="G12" s="10"/>
      <c r="H12" s="10" t="s">
        <v>10</v>
      </c>
      <c r="I12" s="10" t="s">
        <v>82</v>
      </c>
      <c r="J12" s="10" t="s">
        <v>11</v>
      </c>
      <c r="K12" s="10" t="s">
        <v>83</v>
      </c>
    </row>
    <row r="13" spans="1:11" s="12" customFormat="1" ht="12">
      <c r="A13" s="13" t="s">
        <v>12</v>
      </c>
      <c r="B13" s="8" t="s">
        <v>13</v>
      </c>
      <c r="C13" s="8" t="s">
        <v>14</v>
      </c>
      <c r="D13" s="8" t="s">
        <v>15</v>
      </c>
      <c r="E13" s="14" t="s">
        <v>16</v>
      </c>
      <c r="F13" s="8" t="s">
        <v>17</v>
      </c>
      <c r="G13" s="15"/>
      <c r="H13" s="8" t="s">
        <v>18</v>
      </c>
      <c r="I13" s="8" t="s">
        <v>19</v>
      </c>
      <c r="J13" s="8" t="s">
        <v>20</v>
      </c>
      <c r="K13" s="8" t="s">
        <v>84</v>
      </c>
    </row>
    <row r="15" spans="1:11" ht="12.75">
      <c r="A15" s="3">
        <v>38443</v>
      </c>
      <c r="B15" s="16">
        <v>42943733.32</v>
      </c>
      <c r="C15" s="16">
        <f aca="true" t="shared" si="0" ref="C15:C26">B15-D15</f>
        <v>39280145.09</v>
      </c>
      <c r="D15" s="16">
        <v>3663588.23</v>
      </c>
      <c r="E15" s="17">
        <f>29700/30</f>
        <v>990</v>
      </c>
      <c r="F15" s="16">
        <v>123.35313905723906</v>
      </c>
      <c r="H15" s="18">
        <v>1992513.3572</v>
      </c>
      <c r="I15" s="16">
        <v>1128515.72</v>
      </c>
      <c r="J15" s="16">
        <v>176200.34</v>
      </c>
      <c r="K15" s="16">
        <f aca="true" t="shared" si="1" ref="K15:K26">D15*0.1</f>
        <v>366358.82300000003</v>
      </c>
    </row>
    <row r="16" spans="1:11" ht="12.75">
      <c r="A16" s="3">
        <v>38473</v>
      </c>
      <c r="B16" s="16">
        <v>38945148.90999999</v>
      </c>
      <c r="C16" s="16">
        <f t="shared" si="0"/>
        <v>35668062.04999999</v>
      </c>
      <c r="D16" s="16">
        <v>3277086.86</v>
      </c>
      <c r="E16" s="17">
        <f>30690/31</f>
        <v>990</v>
      </c>
      <c r="F16" s="16">
        <v>106.78028217660476</v>
      </c>
      <c r="H16" s="16">
        <f aca="true" t="shared" si="2" ref="H16:H26">D16*0.5</f>
        <v>1638543.43</v>
      </c>
      <c r="I16" s="16">
        <f aca="true" t="shared" si="3" ref="I16:I26">D16*0.32</f>
        <v>1048667.7952</v>
      </c>
      <c r="J16" s="16">
        <f aca="true" t="shared" si="4" ref="J16:J26">D16*0.08</f>
        <v>262166.9488</v>
      </c>
      <c r="K16" s="16">
        <f t="shared" si="1"/>
        <v>327708.686</v>
      </c>
    </row>
    <row r="17" spans="1:11" ht="12.75">
      <c r="A17" s="3">
        <v>38504</v>
      </c>
      <c r="B17" s="16">
        <v>36648171.779999994</v>
      </c>
      <c r="C17" s="16">
        <f t="shared" si="0"/>
        <v>33412591.679999992</v>
      </c>
      <c r="D17" s="16">
        <v>3235580.1</v>
      </c>
      <c r="E17" s="17">
        <f>29700/30</f>
        <v>990</v>
      </c>
      <c r="F17" s="16">
        <v>108.94209090909091</v>
      </c>
      <c r="H17" s="16">
        <f t="shared" si="2"/>
        <v>1617790.05</v>
      </c>
      <c r="I17" s="16">
        <f t="shared" si="3"/>
        <v>1035385.6320000001</v>
      </c>
      <c r="J17" s="16">
        <f t="shared" si="4"/>
        <v>258846.40800000002</v>
      </c>
      <c r="K17" s="16">
        <f t="shared" si="1"/>
        <v>323558.01</v>
      </c>
    </row>
    <row r="18" spans="1:11" ht="12.75">
      <c r="A18" s="3">
        <v>38534</v>
      </c>
      <c r="B18" s="16">
        <v>40813566.66</v>
      </c>
      <c r="C18" s="16">
        <f t="shared" si="0"/>
        <v>37257482.279999994</v>
      </c>
      <c r="D18" s="16">
        <v>3556084.38</v>
      </c>
      <c r="E18" s="17">
        <f>30690/31</f>
        <v>990</v>
      </c>
      <c r="F18" s="16">
        <v>115.87111045943304</v>
      </c>
      <c r="H18" s="16">
        <f t="shared" si="2"/>
        <v>1778042.19</v>
      </c>
      <c r="I18" s="16">
        <f t="shared" si="3"/>
        <v>1137947.0016</v>
      </c>
      <c r="J18" s="16">
        <f t="shared" si="4"/>
        <v>284486.7504</v>
      </c>
      <c r="K18" s="16">
        <f t="shared" si="1"/>
        <v>355608.438</v>
      </c>
    </row>
    <row r="19" spans="1:11" ht="12.75">
      <c r="A19" s="3">
        <v>38565</v>
      </c>
      <c r="B19" s="16">
        <v>32098418.009999998</v>
      </c>
      <c r="C19" s="16">
        <f t="shared" si="0"/>
        <v>29399211.569999997</v>
      </c>
      <c r="D19" s="16">
        <v>2699206.44</v>
      </c>
      <c r="E19" s="17">
        <f>30690/31</f>
        <v>990</v>
      </c>
      <c r="F19" s="16">
        <v>87.95068230694038</v>
      </c>
      <c r="H19" s="16">
        <f t="shared" si="2"/>
        <v>1349603.22</v>
      </c>
      <c r="I19" s="16">
        <f t="shared" si="3"/>
        <v>863746.0608</v>
      </c>
      <c r="J19" s="16">
        <f t="shared" si="4"/>
        <v>215936.5152</v>
      </c>
      <c r="K19" s="16">
        <f t="shared" si="1"/>
        <v>269920.64400000003</v>
      </c>
    </row>
    <row r="20" spans="1:11" ht="12.75">
      <c r="A20" s="3">
        <v>38596</v>
      </c>
      <c r="B20" s="16">
        <v>36350830.54999999</v>
      </c>
      <c r="C20" s="16">
        <f t="shared" si="0"/>
        <v>33175896.08999999</v>
      </c>
      <c r="D20" s="16">
        <v>3174934.46</v>
      </c>
      <c r="E20" s="17">
        <f>29700/30</f>
        <v>990</v>
      </c>
      <c r="F20" s="16">
        <v>106.90015016835015</v>
      </c>
      <c r="H20" s="16">
        <f t="shared" si="2"/>
        <v>1587467.23</v>
      </c>
      <c r="I20" s="16">
        <f t="shared" si="3"/>
        <v>1015979.0272</v>
      </c>
      <c r="J20" s="16">
        <f t="shared" si="4"/>
        <v>253994.7568</v>
      </c>
      <c r="K20" s="16">
        <f t="shared" si="1"/>
        <v>317493.446</v>
      </c>
    </row>
    <row r="21" spans="1:11" ht="12.75">
      <c r="A21" s="3">
        <v>38626</v>
      </c>
      <c r="B21" s="16">
        <v>37945871.44</v>
      </c>
      <c r="C21" s="16">
        <f t="shared" si="0"/>
        <v>34706724.08</v>
      </c>
      <c r="D21" s="16">
        <v>3239147.36</v>
      </c>
      <c r="E21" s="17">
        <f>30690/31</f>
        <v>990</v>
      </c>
      <c r="F21" s="16">
        <v>105.5440651678071</v>
      </c>
      <c r="H21" s="16">
        <f t="shared" si="2"/>
        <v>1619573.68</v>
      </c>
      <c r="I21" s="16">
        <f t="shared" si="3"/>
        <v>1036527.1552</v>
      </c>
      <c r="J21" s="16">
        <f t="shared" si="4"/>
        <v>259131.7888</v>
      </c>
      <c r="K21" s="16">
        <f t="shared" si="1"/>
        <v>323914.73600000003</v>
      </c>
    </row>
    <row r="22" spans="1:11" ht="12.75">
      <c r="A22" s="3">
        <v>38657</v>
      </c>
      <c r="B22" s="16">
        <v>34501524.42</v>
      </c>
      <c r="C22" s="16">
        <f t="shared" si="0"/>
        <v>31587381.6</v>
      </c>
      <c r="D22" s="16">
        <v>2914142.82</v>
      </c>
      <c r="E22" s="17">
        <f>29700/30</f>
        <v>990</v>
      </c>
      <c r="F22" s="16">
        <v>98.11928686868686</v>
      </c>
      <c r="H22" s="16">
        <f t="shared" si="2"/>
        <v>1457071.41</v>
      </c>
      <c r="I22" s="16">
        <f t="shared" si="3"/>
        <v>932525.7024</v>
      </c>
      <c r="J22" s="16">
        <f t="shared" si="4"/>
        <v>233131.4256</v>
      </c>
      <c r="K22" s="16">
        <f t="shared" si="1"/>
        <v>291414.282</v>
      </c>
    </row>
    <row r="23" spans="1:11" ht="12.75">
      <c r="A23" s="3">
        <v>38687</v>
      </c>
      <c r="B23" s="16">
        <v>34732940.010000005</v>
      </c>
      <c r="C23" s="16">
        <f t="shared" si="0"/>
        <v>31746181.790000007</v>
      </c>
      <c r="D23" s="16">
        <v>2986758.22</v>
      </c>
      <c r="E23" s="17">
        <f>30690/31</f>
        <v>990</v>
      </c>
      <c r="F23" s="16">
        <v>97.32024177256436</v>
      </c>
      <c r="H23" s="16">
        <f t="shared" si="2"/>
        <v>1493379.11</v>
      </c>
      <c r="I23" s="16">
        <f t="shared" si="3"/>
        <v>955762.6304000001</v>
      </c>
      <c r="J23" s="16">
        <f t="shared" si="4"/>
        <v>238940.65760000004</v>
      </c>
      <c r="K23" s="16">
        <f t="shared" si="1"/>
        <v>298675.82200000004</v>
      </c>
    </row>
    <row r="24" spans="1:11" ht="12.75">
      <c r="A24" s="3">
        <v>38718</v>
      </c>
      <c r="B24" s="16">
        <v>39659536.01</v>
      </c>
      <c r="C24" s="16">
        <f t="shared" si="0"/>
        <v>36220587.48</v>
      </c>
      <c r="D24" s="16">
        <v>3438948.53</v>
      </c>
      <c r="E24" s="17">
        <f>30690/31</f>
        <v>990</v>
      </c>
      <c r="F24" s="16">
        <v>112.05436722059304</v>
      </c>
      <c r="H24" s="16">
        <f t="shared" si="2"/>
        <v>1719474.265</v>
      </c>
      <c r="I24" s="16">
        <f t="shared" si="3"/>
        <v>1100463.5296</v>
      </c>
      <c r="J24" s="16">
        <f t="shared" si="4"/>
        <v>275115.8824</v>
      </c>
      <c r="K24" s="16">
        <f t="shared" si="1"/>
        <v>343894.853</v>
      </c>
    </row>
    <row r="25" spans="1:11" ht="12.75">
      <c r="A25" s="3">
        <v>38749</v>
      </c>
      <c r="B25" s="16">
        <v>38413130.3</v>
      </c>
      <c r="C25" s="16">
        <f t="shared" si="0"/>
        <v>35054168.73</v>
      </c>
      <c r="D25" s="16">
        <v>3358961.57</v>
      </c>
      <c r="E25" s="17">
        <f>27720/28</f>
        <v>990</v>
      </c>
      <c r="F25" s="16">
        <v>121.17465981240979</v>
      </c>
      <c r="H25" s="16">
        <f t="shared" si="2"/>
        <v>1679480.785</v>
      </c>
      <c r="I25" s="16">
        <f t="shared" si="3"/>
        <v>1074867.7024</v>
      </c>
      <c r="J25" s="16">
        <f t="shared" si="4"/>
        <v>268716.9256</v>
      </c>
      <c r="K25" s="16">
        <f t="shared" si="1"/>
        <v>335896.157</v>
      </c>
    </row>
    <row r="26" spans="1:11" ht="12.75">
      <c r="A26" s="3">
        <v>38777</v>
      </c>
      <c r="B26" s="16">
        <v>43459859.11000001</v>
      </c>
      <c r="C26" s="16">
        <f t="shared" si="0"/>
        <v>39647081.56000001</v>
      </c>
      <c r="D26" s="16">
        <v>3812777.55</v>
      </c>
      <c r="E26" s="17">
        <f>30690/31</f>
        <v>990</v>
      </c>
      <c r="F26" s="16">
        <v>124.23517595307918</v>
      </c>
      <c r="H26" s="16">
        <f t="shared" si="2"/>
        <v>1906388.775</v>
      </c>
      <c r="I26" s="16">
        <f t="shared" si="3"/>
        <v>1220088.8159999999</v>
      </c>
      <c r="J26" s="16">
        <f t="shared" si="4"/>
        <v>305022.20399999997</v>
      </c>
      <c r="K26" s="16">
        <f t="shared" si="1"/>
        <v>381277.755</v>
      </c>
    </row>
    <row r="27" spans="1:11" ht="13.5" thickBot="1">
      <c r="A27" s="3" t="s">
        <v>21</v>
      </c>
      <c r="B27" s="19">
        <f>SUM(B15:B26)</f>
        <v>456512730.52</v>
      </c>
      <c r="C27" s="19">
        <f>SUM(C15:C26)</f>
        <v>417155514</v>
      </c>
      <c r="D27" s="19">
        <f>SUM(D15:D26)</f>
        <v>39357216.519999996</v>
      </c>
      <c r="H27" s="19">
        <f>SUM(H15:H26)</f>
        <v>19839327.502199996</v>
      </c>
      <c r="I27" s="19">
        <f>SUM(I15:I26)</f>
        <v>12550476.772800002</v>
      </c>
      <c r="J27" s="19">
        <f>SUM(J15:J26)</f>
        <v>3031690.6032000002</v>
      </c>
      <c r="K27" s="19">
        <f>SUM(K15:K26)</f>
        <v>3935721.6520000007</v>
      </c>
    </row>
    <row r="28" spans="2:11" ht="10.5" customHeight="1" thickTop="1">
      <c r="B28" s="20"/>
      <c r="C28" s="20"/>
      <c r="D28" s="20"/>
      <c r="H28" s="20"/>
      <c r="I28" s="20"/>
      <c r="J28" s="20"/>
      <c r="K28" s="20"/>
    </row>
    <row r="29" spans="1:11" s="23" customFormat="1" ht="12.75">
      <c r="A29" s="21"/>
      <c r="B29" s="22"/>
      <c r="C29" s="22">
        <f>C27/B27</f>
        <v>0.9137872530407436</v>
      </c>
      <c r="D29" s="22">
        <f>D27/B27</f>
        <v>0.08621274695925647</v>
      </c>
      <c r="H29" s="22">
        <f>H27/$D$27</f>
        <v>0.5040836028665372</v>
      </c>
      <c r="I29" s="22">
        <f>I27/$D$27</f>
        <v>0.3188862903051662</v>
      </c>
      <c r="J29" s="22">
        <f>J27/$D$27</f>
        <v>0.07703010708746129</v>
      </c>
      <c r="K29" s="22">
        <f>K27/$D$27</f>
        <v>0.10000000000000003</v>
      </c>
    </row>
    <row r="31" spans="1:11" s="24" customFormat="1" ht="12.75">
      <c r="A31" s="144" t="s">
        <v>22</v>
      </c>
      <c r="B31" s="145"/>
      <c r="C31" s="145"/>
      <c r="D31" s="145"/>
      <c r="E31" s="145"/>
      <c r="F31" s="145"/>
      <c r="G31" s="145"/>
      <c r="H31" s="145"/>
      <c r="I31" s="145"/>
      <c r="J31" s="145"/>
      <c r="K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1" ht="6" customHeight="1">
      <c r="A35" s="26"/>
      <c r="B35" s="27"/>
      <c r="C35" s="27"/>
      <c r="E35" s="27"/>
      <c r="F35" s="27"/>
      <c r="G35" s="27"/>
      <c r="H35" s="27"/>
      <c r="I35" s="27"/>
      <c r="J35" s="27"/>
      <c r="K35" s="27"/>
    </row>
    <row r="36" spans="1:11" ht="12.75">
      <c r="A36" s="26" t="s">
        <v>24</v>
      </c>
      <c r="B36" s="27"/>
      <c r="C36" s="27" t="s">
        <v>25</v>
      </c>
      <c r="E36" s="27"/>
      <c r="F36" s="27"/>
      <c r="G36" s="27"/>
      <c r="H36" s="27"/>
      <c r="I36" s="27"/>
      <c r="J36" s="27"/>
      <c r="K36" s="27"/>
    </row>
    <row r="37" spans="1:11" ht="6" customHeight="1">
      <c r="A37" s="26"/>
      <c r="B37" s="27"/>
      <c r="C37" s="27"/>
      <c r="E37" s="27"/>
      <c r="F37" s="27"/>
      <c r="G37" s="27"/>
      <c r="H37" s="27"/>
      <c r="I37" s="27"/>
      <c r="J37" s="27"/>
      <c r="K37" s="27"/>
    </row>
    <row r="38" spans="1:11" ht="12.75">
      <c r="A38" s="26" t="s">
        <v>26</v>
      </c>
      <c r="B38" s="27"/>
      <c r="C38" s="27" t="s">
        <v>27</v>
      </c>
      <c r="E38" s="28"/>
      <c r="F38" s="27"/>
      <c r="G38" s="27"/>
      <c r="H38" s="27"/>
      <c r="I38" s="27"/>
      <c r="J38" s="27"/>
      <c r="K38" s="27"/>
    </row>
    <row r="39" spans="1:11" ht="12.75">
      <c r="A39" s="26"/>
      <c r="B39" s="27"/>
      <c r="C39" s="27" t="s">
        <v>28</v>
      </c>
      <c r="E39" s="28"/>
      <c r="F39" s="27"/>
      <c r="G39" s="27"/>
      <c r="H39" s="27"/>
      <c r="I39" s="27"/>
      <c r="J39" s="27"/>
      <c r="K39" s="27"/>
    </row>
    <row r="40" spans="1:11" ht="6" customHeight="1">
      <c r="A40" s="26"/>
      <c r="B40" s="27"/>
      <c r="C40" s="27"/>
      <c r="E40" s="28"/>
      <c r="F40" s="27"/>
      <c r="G40" s="27"/>
      <c r="H40" s="27"/>
      <c r="I40" s="27"/>
      <c r="J40" s="27"/>
      <c r="K40" s="27"/>
    </row>
    <row r="41" spans="1:11" ht="12.75">
      <c r="A41" s="26" t="s">
        <v>29</v>
      </c>
      <c r="B41" s="27"/>
      <c r="C41" s="27" t="s">
        <v>30</v>
      </c>
      <c r="E41" s="28"/>
      <c r="F41" s="27"/>
      <c r="G41" s="27"/>
      <c r="H41" s="27"/>
      <c r="I41" s="27"/>
      <c r="J41" s="27"/>
      <c r="K41" s="27"/>
    </row>
    <row r="42" spans="1:11" ht="6" customHeight="1">
      <c r="A42" s="26"/>
      <c r="B42" s="27"/>
      <c r="C42" s="27"/>
      <c r="E42" s="28"/>
      <c r="F42" s="27"/>
      <c r="G42" s="27"/>
      <c r="H42" s="27"/>
      <c r="I42" s="27"/>
      <c r="J42" s="27"/>
      <c r="K42" s="27"/>
    </row>
    <row r="43" spans="1:12" s="47" customFormat="1" ht="12.75">
      <c r="A43" s="26" t="s">
        <v>76</v>
      </c>
      <c r="B43" s="44"/>
      <c r="C43" s="44" t="s">
        <v>77</v>
      </c>
      <c r="D43" s="45"/>
      <c r="E43" s="46"/>
      <c r="F43" s="44"/>
      <c r="G43" s="44"/>
      <c r="H43" s="44"/>
      <c r="I43" s="44"/>
      <c r="J43" s="44"/>
      <c r="K43" s="44"/>
      <c r="L43" s="44"/>
    </row>
    <row r="44" spans="1:12" s="47" customFormat="1" ht="12.75">
      <c r="A44" s="26"/>
      <c r="B44" s="44"/>
      <c r="C44" s="44" t="s">
        <v>85</v>
      </c>
      <c r="D44" s="45"/>
      <c r="E44" s="46"/>
      <c r="F44" s="44"/>
      <c r="G44" s="44"/>
      <c r="H44" s="44"/>
      <c r="I44" s="44"/>
      <c r="J44" s="44"/>
      <c r="K44" s="44"/>
      <c r="L44" s="44"/>
    </row>
    <row r="45" spans="1:12" s="47" customFormat="1" ht="12.75">
      <c r="A45" s="26"/>
      <c r="B45" s="44"/>
      <c r="C45" s="44" t="s">
        <v>86</v>
      </c>
      <c r="D45" s="45"/>
      <c r="E45" s="46"/>
      <c r="F45" s="44"/>
      <c r="G45" s="44"/>
      <c r="H45" s="44"/>
      <c r="I45" s="44"/>
      <c r="J45" s="44"/>
      <c r="K45" s="44"/>
      <c r="L45" s="44"/>
    </row>
    <row r="46" spans="1:11" ht="6" customHeight="1">
      <c r="A46" s="26"/>
      <c r="B46" s="27"/>
      <c r="C46" s="27"/>
      <c r="E46" s="28"/>
      <c r="F46" s="27"/>
      <c r="G46" s="27"/>
      <c r="H46" s="27"/>
      <c r="I46" s="27"/>
      <c r="J46" s="27"/>
      <c r="K46" s="27"/>
    </row>
    <row r="47" spans="1:12" s="47" customFormat="1" ht="12.75">
      <c r="A47" s="26" t="s">
        <v>31</v>
      </c>
      <c r="B47" s="44"/>
      <c r="C47" s="44" t="s">
        <v>78</v>
      </c>
      <c r="D47" s="45"/>
      <c r="E47" s="46"/>
      <c r="F47" s="44"/>
      <c r="G47" s="44"/>
      <c r="H47" s="44"/>
      <c r="I47" s="44"/>
      <c r="J47" s="44"/>
      <c r="K47" s="44"/>
      <c r="L47" s="44"/>
    </row>
    <row r="48" spans="1:12" s="47" customFormat="1" ht="12.75">
      <c r="A48" s="26"/>
      <c r="B48" s="44"/>
      <c r="C48" s="44" t="s">
        <v>79</v>
      </c>
      <c r="D48" s="45"/>
      <c r="E48" s="46"/>
      <c r="F48" s="44"/>
      <c r="G48" s="44"/>
      <c r="H48" s="44"/>
      <c r="I48" s="44"/>
      <c r="J48" s="44"/>
      <c r="K48" s="44"/>
      <c r="L48" s="44"/>
    </row>
    <row r="49" spans="1:11" ht="6" customHeight="1">
      <c r="A49" s="26"/>
      <c r="B49" s="27"/>
      <c r="C49" s="27"/>
      <c r="E49" s="28"/>
      <c r="F49" s="27"/>
      <c r="G49" s="27"/>
      <c r="H49" s="27"/>
      <c r="I49" s="27"/>
      <c r="J49" s="27"/>
      <c r="K49" s="27"/>
    </row>
    <row r="50" spans="1:12" s="47" customFormat="1" ht="12.75">
      <c r="A50" s="26" t="s">
        <v>88</v>
      </c>
      <c r="B50" s="44"/>
      <c r="C50" s="44" t="s">
        <v>80</v>
      </c>
      <c r="D50" s="45"/>
      <c r="E50" s="46"/>
      <c r="F50" s="44"/>
      <c r="G50" s="44"/>
      <c r="H50" s="44"/>
      <c r="I50" s="44"/>
      <c r="J50" s="44"/>
      <c r="K50" s="44"/>
      <c r="L50" s="44"/>
    </row>
    <row r="51" spans="1:12" s="47" customFormat="1" ht="12.75">
      <c r="A51" s="29"/>
      <c r="B51" s="44"/>
      <c r="C51" s="44" t="s">
        <v>81</v>
      </c>
      <c r="D51" s="45"/>
      <c r="E51" s="46"/>
      <c r="F51" s="44"/>
      <c r="G51" s="44"/>
      <c r="H51" s="44"/>
      <c r="I51" s="44"/>
      <c r="J51" s="44"/>
      <c r="K51" s="44"/>
      <c r="L51" s="44"/>
    </row>
    <row r="52" spans="1:11" ht="12.75">
      <c r="A52" s="30"/>
      <c r="B52" s="31"/>
      <c r="C52" s="31"/>
      <c r="D52" s="31"/>
      <c r="E52" s="32"/>
      <c r="F52" s="31"/>
      <c r="G52" s="31"/>
      <c r="H52" s="31"/>
      <c r="I52" s="31"/>
      <c r="J52" s="31"/>
      <c r="K52" s="31"/>
    </row>
    <row r="53" spans="1:11" s="24" customFormat="1" ht="12.75">
      <c r="A53" s="144" t="s">
        <v>32</v>
      </c>
      <c r="B53" s="145"/>
      <c r="C53" s="145"/>
      <c r="D53" s="145"/>
      <c r="E53" s="145"/>
      <c r="F53" s="145"/>
      <c r="G53" s="145"/>
      <c r="H53" s="145"/>
      <c r="I53" s="145"/>
      <c r="J53" s="145"/>
      <c r="K53" s="146"/>
    </row>
    <row r="54" ht="12.75">
      <c r="A54" s="25"/>
    </row>
    <row r="55" spans="1:11" ht="13.5">
      <c r="A55" s="33"/>
      <c r="F55" s="10" t="s">
        <v>10</v>
      </c>
      <c r="G55" s="34"/>
      <c r="H55" s="10" t="s">
        <v>82</v>
      </c>
      <c r="I55" s="10" t="s">
        <v>11</v>
      </c>
      <c r="J55" s="10" t="s">
        <v>83</v>
      </c>
      <c r="K55" s="35"/>
    </row>
    <row r="56" spans="1:11" ht="12.75">
      <c r="A56" s="36"/>
      <c r="F56" s="8" t="s">
        <v>18</v>
      </c>
      <c r="G56" s="37"/>
      <c r="H56" s="8" t="s">
        <v>19</v>
      </c>
      <c r="I56" s="8" t="s">
        <v>20</v>
      </c>
      <c r="J56" s="8" t="s">
        <v>84</v>
      </c>
      <c r="K56" s="35"/>
    </row>
    <row r="57" spans="2:11" ht="12.75">
      <c r="B57" s="42" t="s">
        <v>38</v>
      </c>
      <c r="F57" s="15"/>
      <c r="G57" s="38"/>
      <c r="H57" s="15"/>
      <c r="I57" s="15"/>
      <c r="J57" s="15"/>
      <c r="K57" s="39"/>
    </row>
    <row r="58" spans="2:11" ht="12.75">
      <c r="B58" s="40" t="s">
        <v>34</v>
      </c>
      <c r="C58" s="40"/>
      <c r="D58" s="27"/>
      <c r="E58" s="28"/>
      <c r="F58" s="41">
        <v>0.61</v>
      </c>
      <c r="G58" s="27"/>
      <c r="H58" s="41">
        <v>0.29</v>
      </c>
      <c r="I58" s="41">
        <v>0</v>
      </c>
      <c r="J58" s="41">
        <v>0.1</v>
      </c>
      <c r="K58" s="39"/>
    </row>
    <row r="59" spans="6:11" ht="12.75">
      <c r="F59" s="15"/>
      <c r="G59" s="38"/>
      <c r="H59" s="15"/>
      <c r="I59" s="15"/>
      <c r="J59" s="15"/>
      <c r="K59" s="39"/>
    </row>
    <row r="60" spans="2:11" ht="12.75">
      <c r="B60" s="42" t="s">
        <v>39</v>
      </c>
      <c r="F60" s="15"/>
      <c r="G60" s="38"/>
      <c r="H60" s="15"/>
      <c r="I60" s="15"/>
      <c r="J60" s="15"/>
      <c r="K60" s="39"/>
    </row>
    <row r="61" spans="1:10" ht="12.75">
      <c r="A61" s="25"/>
      <c r="B61" s="40" t="s">
        <v>40</v>
      </c>
      <c r="C61" s="40"/>
      <c r="D61" s="27"/>
      <c r="E61" s="28"/>
      <c r="F61" s="41">
        <v>0.5</v>
      </c>
      <c r="G61" s="27"/>
      <c r="H61" s="41">
        <v>0.32</v>
      </c>
      <c r="I61" s="41">
        <v>0.08</v>
      </c>
      <c r="J61" s="41">
        <v>0.1</v>
      </c>
    </row>
    <row r="62" spans="2:10" ht="12.75">
      <c r="B62" s="40" t="s">
        <v>41</v>
      </c>
      <c r="C62" s="40"/>
      <c r="D62" s="27"/>
      <c r="E62" s="28"/>
      <c r="F62" s="41">
        <v>0.53</v>
      </c>
      <c r="G62" s="27"/>
      <c r="H62" s="41">
        <v>0.29</v>
      </c>
      <c r="I62" s="41">
        <v>0.08</v>
      </c>
      <c r="J62" s="41">
        <v>0.1</v>
      </c>
    </row>
    <row r="63" spans="2:10" ht="12.75">
      <c r="B63" s="40" t="s">
        <v>42</v>
      </c>
      <c r="C63" s="40"/>
      <c r="D63" s="27"/>
      <c r="E63" s="28"/>
      <c r="F63" s="41">
        <v>0.56</v>
      </c>
      <c r="G63" s="27"/>
      <c r="H63" s="41">
        <v>0.29</v>
      </c>
      <c r="I63" s="41">
        <v>0.05</v>
      </c>
      <c r="J63" s="41">
        <v>0.1</v>
      </c>
    </row>
    <row r="64" spans="2:10" ht="12.75">
      <c r="B64" s="40" t="s">
        <v>43</v>
      </c>
      <c r="C64" s="40"/>
      <c r="D64" s="27"/>
      <c r="E64" s="28"/>
      <c r="F64" s="41">
        <v>0.59</v>
      </c>
      <c r="G64" s="27"/>
      <c r="H64" s="41">
        <v>0.26</v>
      </c>
      <c r="I64" s="41">
        <v>0.05</v>
      </c>
      <c r="J64" s="41">
        <v>0.1</v>
      </c>
    </row>
    <row r="67" ht="12.75">
      <c r="A67" s="25" t="s">
        <v>35</v>
      </c>
    </row>
  </sheetData>
  <sheetProtection/>
  <mergeCells count="9">
    <mergeCell ref="A31:K31"/>
    <mergeCell ref="A53:K53"/>
    <mergeCell ref="H10:K10"/>
    <mergeCell ref="A8:K8"/>
    <mergeCell ref="A5:K5"/>
    <mergeCell ref="A1:K1"/>
    <mergeCell ref="A2:K2"/>
    <mergeCell ref="A3:K3"/>
    <mergeCell ref="A4:K4"/>
  </mergeCells>
  <printOptions horizontalCentered="1"/>
  <pageMargins left="0.25" right="0.25" top="0.75" bottom="0.5" header="0.5" footer="0.5"/>
  <pageSetup fitToHeight="1" fitToWidth="1"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70"/>
  <sheetViews>
    <sheetView zoomScale="90" zoomScaleNormal="90" zoomScalePageLayoutView="0" workbookViewId="0" topLeftCell="A1">
      <selection activeCell="I26" sqref="I26:K26"/>
    </sheetView>
  </sheetViews>
  <sheetFormatPr defaultColWidth="9.140625" defaultRowHeight="12.75"/>
  <cols>
    <col min="1" max="1" width="9.28125" style="72" customWidth="1"/>
    <col min="2" max="2" width="14.140625" style="70" customWidth="1"/>
    <col min="3" max="3" width="13.421875" style="70" customWidth="1"/>
    <col min="4" max="4" width="14.140625" style="70" customWidth="1"/>
    <col min="5" max="5" width="12.7109375" style="70" customWidth="1"/>
    <col min="6" max="6" width="9.7109375" style="71" customWidth="1"/>
    <col min="7" max="7" width="10.28125" style="70" customWidth="1"/>
    <col min="8" max="8" width="2.28125" style="70" customWidth="1"/>
    <col min="9" max="10" width="13.00390625" style="70" customWidth="1"/>
    <col min="11" max="11" width="13.7109375" style="70" customWidth="1"/>
    <col min="12" max="12" width="12.7109375" style="69" customWidth="1"/>
    <col min="13" max="16384" width="9.140625" style="69" customWidth="1"/>
  </cols>
  <sheetData>
    <row r="1" spans="1:11" ht="18">
      <c r="A1" s="136" t="s">
        <v>102</v>
      </c>
      <c r="B1" s="136"/>
      <c r="C1" s="136"/>
      <c r="D1" s="136"/>
      <c r="E1" s="136"/>
      <c r="F1" s="136"/>
      <c r="G1" s="136"/>
      <c r="H1" s="136"/>
      <c r="I1" s="136"/>
      <c r="J1" s="136"/>
      <c r="K1" s="136"/>
    </row>
    <row r="2" spans="1:11" ht="15">
      <c r="A2" s="137" t="s">
        <v>1</v>
      </c>
      <c r="B2" s="137"/>
      <c r="C2" s="137"/>
      <c r="D2" s="137"/>
      <c r="E2" s="137"/>
      <c r="F2" s="137"/>
      <c r="G2" s="137"/>
      <c r="H2" s="137"/>
      <c r="I2" s="137"/>
      <c r="J2" s="137"/>
      <c r="K2" s="137"/>
    </row>
    <row r="3" spans="1:11" s="119" customFormat="1" ht="15">
      <c r="A3" s="137" t="s">
        <v>2</v>
      </c>
      <c r="B3" s="137"/>
      <c r="C3" s="137"/>
      <c r="D3" s="137"/>
      <c r="E3" s="137"/>
      <c r="F3" s="137"/>
      <c r="G3" s="137"/>
      <c r="H3" s="137"/>
      <c r="I3" s="137"/>
      <c r="J3" s="137"/>
      <c r="K3" s="137"/>
    </row>
    <row r="4" spans="1:11" s="119" customFormat="1" ht="12.75">
      <c r="A4" s="138" t="s">
        <v>3</v>
      </c>
      <c r="B4" s="139"/>
      <c r="C4" s="139"/>
      <c r="D4" s="139"/>
      <c r="E4" s="139"/>
      <c r="F4" s="139"/>
      <c r="G4" s="139"/>
      <c r="H4" s="139"/>
      <c r="I4" s="139"/>
      <c r="J4" s="139"/>
      <c r="K4" s="139"/>
    </row>
    <row r="5" spans="1:11" s="119" customFormat="1" ht="14.25">
      <c r="A5" s="140" t="s">
        <v>4</v>
      </c>
      <c r="B5" s="140"/>
      <c r="C5" s="140"/>
      <c r="D5" s="140"/>
      <c r="E5" s="140"/>
      <c r="F5" s="140"/>
      <c r="G5" s="140"/>
      <c r="H5" s="140"/>
      <c r="I5" s="140"/>
      <c r="J5" s="140"/>
      <c r="K5" s="140"/>
    </row>
    <row r="6" spans="1:11" s="119" customFormat="1" ht="14.25">
      <c r="A6" s="125"/>
      <c r="B6" s="125"/>
      <c r="C6" s="125"/>
      <c r="D6" s="125"/>
      <c r="E6" s="125"/>
      <c r="F6" s="125"/>
      <c r="G6" s="125"/>
      <c r="H6" s="125"/>
      <c r="I6" s="125"/>
      <c r="J6" s="125"/>
      <c r="K6" s="125"/>
    </row>
    <row r="7" spans="1:11" s="119" customFormat="1" ht="12.75">
      <c r="A7" s="72"/>
      <c r="B7" s="123"/>
      <c r="C7" s="123"/>
      <c r="D7" s="123"/>
      <c r="E7" s="120"/>
      <c r="F7" s="121"/>
      <c r="G7" s="120"/>
      <c r="H7" s="120"/>
      <c r="I7" s="120"/>
      <c r="J7" s="120"/>
      <c r="K7" s="120"/>
    </row>
    <row r="8" spans="1:11" s="124" customFormat="1" ht="14.25" customHeight="1">
      <c r="A8" s="131" t="s">
        <v>128</v>
      </c>
      <c r="B8" s="132"/>
      <c r="C8" s="132"/>
      <c r="D8" s="132"/>
      <c r="E8" s="132"/>
      <c r="F8" s="132"/>
      <c r="G8" s="132"/>
      <c r="H8" s="132"/>
      <c r="I8" s="132"/>
      <c r="J8" s="132"/>
      <c r="K8" s="132"/>
    </row>
    <row r="9" spans="1:11" s="119" customFormat="1" ht="9" customHeight="1">
      <c r="A9" s="72"/>
      <c r="B9" s="123"/>
      <c r="C9" s="123"/>
      <c r="D9" s="123"/>
      <c r="E9" s="120"/>
      <c r="F9" s="121"/>
      <c r="G9" s="120"/>
      <c r="H9" s="120"/>
      <c r="I9" s="120"/>
      <c r="J9" s="120"/>
      <c r="K9" s="120"/>
    </row>
    <row r="10" spans="1:11" s="119" customFormat="1" ht="12.75">
      <c r="A10" s="72"/>
      <c r="B10" s="120"/>
      <c r="C10" s="120"/>
      <c r="D10" s="120"/>
      <c r="E10" s="120"/>
      <c r="F10" s="121"/>
      <c r="G10" s="120"/>
      <c r="H10" s="120"/>
      <c r="I10" s="130" t="s">
        <v>6</v>
      </c>
      <c r="J10" s="130"/>
      <c r="K10" s="130"/>
    </row>
    <row r="11" spans="1:11" s="119" customFormat="1" ht="12.75">
      <c r="A11" s="72"/>
      <c r="B11" s="120"/>
      <c r="C11" s="120"/>
      <c r="D11" s="122"/>
      <c r="E11" s="120"/>
      <c r="F11" s="121"/>
      <c r="G11" s="120"/>
      <c r="H11" s="120"/>
      <c r="I11" s="120"/>
      <c r="J11" s="120"/>
      <c r="K11" s="120"/>
    </row>
    <row r="12" spans="1:11" s="113" customFormat="1" ht="12">
      <c r="A12" s="118"/>
      <c r="B12" s="89" t="s">
        <v>7</v>
      </c>
      <c r="C12" s="89" t="s">
        <v>75</v>
      </c>
      <c r="D12" s="89" t="s">
        <v>7</v>
      </c>
      <c r="E12" s="89"/>
      <c r="F12" s="117" t="s">
        <v>8</v>
      </c>
      <c r="G12" s="89" t="s">
        <v>9</v>
      </c>
      <c r="H12" s="89"/>
      <c r="I12" s="89" t="s">
        <v>10</v>
      </c>
      <c r="J12" s="89" t="s">
        <v>83</v>
      </c>
      <c r="K12" s="89" t="s">
        <v>82</v>
      </c>
    </row>
    <row r="13" spans="1:11" s="113" customFormat="1" ht="12">
      <c r="A13" s="116" t="s">
        <v>12</v>
      </c>
      <c r="B13" s="85" t="s">
        <v>13</v>
      </c>
      <c r="C13" s="85" t="s">
        <v>20</v>
      </c>
      <c r="D13" s="85" t="s">
        <v>14</v>
      </c>
      <c r="E13" s="85" t="s">
        <v>15</v>
      </c>
      <c r="F13" s="115" t="s">
        <v>16</v>
      </c>
      <c r="G13" s="85" t="s">
        <v>17</v>
      </c>
      <c r="H13" s="114"/>
      <c r="I13" s="85" t="s">
        <v>18</v>
      </c>
      <c r="J13" s="85" t="s">
        <v>84</v>
      </c>
      <c r="K13" s="85" t="s">
        <v>19</v>
      </c>
    </row>
    <row r="14" ht="12.75">
      <c r="D14" s="96"/>
    </row>
    <row r="15" spans="1:11" ht="12.75">
      <c r="A15" s="72">
        <v>44652</v>
      </c>
      <c r="B15" s="70">
        <v>89933201.70000002</v>
      </c>
      <c r="C15" s="70">
        <v>788841.5399999999</v>
      </c>
      <c r="D15" s="70">
        <f aca="true" t="shared" si="0" ref="D15:D26">IF(ISBLANK(B15),"",B15-C15-E15)</f>
        <v>82667757.55000001</v>
      </c>
      <c r="E15" s="70">
        <v>6476602.610000001</v>
      </c>
      <c r="F15" s="71">
        <v>929</v>
      </c>
      <c r="G15" s="70">
        <f>_xlfn.IFERROR((E15/F15/30)," ")</f>
        <v>232.38617186939368</v>
      </c>
      <c r="I15" s="70">
        <v>2202044.91</v>
      </c>
      <c r="J15" s="70">
        <v>647660.26</v>
      </c>
      <c r="K15" s="70">
        <v>3626897.43</v>
      </c>
    </row>
    <row r="16" spans="1:11" ht="12.75">
      <c r="A16" s="72">
        <v>44682</v>
      </c>
      <c r="B16" s="70">
        <v>85555562.90999997</v>
      </c>
      <c r="C16" s="70">
        <v>788391.5799999998</v>
      </c>
      <c r="D16" s="70">
        <f t="shared" si="0"/>
        <v>78487767.43999997</v>
      </c>
      <c r="E16" s="70">
        <v>6279403.8900000015</v>
      </c>
      <c r="F16" s="71">
        <v>929</v>
      </c>
      <c r="G16" s="70">
        <f>_xlfn.IFERROR((E16/F16/31)," ")</f>
        <v>218.04242820931287</v>
      </c>
      <c r="I16" s="70">
        <v>2134997.3200000003</v>
      </c>
      <c r="J16" s="70">
        <v>627940.42</v>
      </c>
      <c r="K16" s="70">
        <v>3516466.19</v>
      </c>
    </row>
    <row r="17" spans="1:11" ht="12.75">
      <c r="A17" s="72">
        <v>44713</v>
      </c>
      <c r="B17" s="70">
        <v>83646689.04999997</v>
      </c>
      <c r="C17" s="70">
        <v>816914.2800000001</v>
      </c>
      <c r="D17" s="70">
        <f>IF(ISBLANK(B17),"",B17-C17-E17)</f>
        <v>76817018.50999996</v>
      </c>
      <c r="E17" s="70">
        <v>6012756.260000002</v>
      </c>
      <c r="F17" s="71">
        <v>931</v>
      </c>
      <c r="G17" s="70">
        <f aca="true" t="shared" si="1" ref="G17:G22">_xlfn.IFERROR((E17/F17/30)," ")</f>
        <v>215.27949373433592</v>
      </c>
      <c r="I17" s="70">
        <v>2044337.1400000004</v>
      </c>
      <c r="J17" s="70">
        <v>601275.67</v>
      </c>
      <c r="K17" s="70">
        <v>3367143.53</v>
      </c>
    </row>
    <row r="18" spans="1:11" ht="12.75">
      <c r="A18" s="72">
        <v>44743</v>
      </c>
      <c r="B18" s="70">
        <v>89157810.92000002</v>
      </c>
      <c r="C18" s="70">
        <v>896198.5200000001</v>
      </c>
      <c r="D18" s="70">
        <f>IF(ISBLANK(B18),"",B18-C18-E18)</f>
        <v>81705323.61000001</v>
      </c>
      <c r="E18" s="70">
        <v>6556288.790000001</v>
      </c>
      <c r="F18" s="71">
        <v>931</v>
      </c>
      <c r="G18" s="70">
        <f>_xlfn.IFERROR((E18/F18/31)," ")</f>
        <v>227.167762378296</v>
      </c>
      <c r="I18" s="70">
        <v>2229138.22</v>
      </c>
      <c r="J18" s="70">
        <v>655628.89</v>
      </c>
      <c r="K18" s="70">
        <v>3671521.7000000007</v>
      </c>
    </row>
    <row r="19" spans="1:11" ht="12.75">
      <c r="A19" s="72">
        <v>44774</v>
      </c>
      <c r="B19" s="70">
        <v>76039028.08</v>
      </c>
      <c r="C19" s="70">
        <v>777011.3300000001</v>
      </c>
      <c r="D19" s="70">
        <f>IF(ISBLANK(B19),"",B19-C19-E19)</f>
        <v>69793050.68</v>
      </c>
      <c r="E19" s="70">
        <v>5468966.069999998</v>
      </c>
      <c r="F19" s="71">
        <v>931</v>
      </c>
      <c r="G19" s="70">
        <f>_xlfn.IFERROR((E19/F19/31)," ")</f>
        <v>189.49329787602642</v>
      </c>
      <c r="I19" s="70">
        <v>1859448.4400000006</v>
      </c>
      <c r="J19" s="70">
        <v>546896.66</v>
      </c>
      <c r="K19" s="70">
        <v>3062621.0200000005</v>
      </c>
    </row>
    <row r="20" spans="1:11" ht="12.75">
      <c r="A20" s="72">
        <v>44805</v>
      </c>
      <c r="B20" s="70">
        <v>82862849.97999999</v>
      </c>
      <c r="C20" s="70">
        <v>926281.6299999998</v>
      </c>
      <c r="D20" s="70">
        <f t="shared" si="0"/>
        <v>76066571.69</v>
      </c>
      <c r="E20" s="70">
        <v>5869996.66</v>
      </c>
      <c r="F20" s="71">
        <v>931</v>
      </c>
      <c r="G20" s="70">
        <f t="shared" si="1"/>
        <v>210.16815825277482</v>
      </c>
      <c r="I20" s="70">
        <v>1995798.8499999996</v>
      </c>
      <c r="J20" s="70">
        <v>586999.7</v>
      </c>
      <c r="K20" s="70">
        <v>3287198.13</v>
      </c>
    </row>
    <row r="21" spans="1:11" ht="12.75">
      <c r="A21" s="72">
        <v>44835</v>
      </c>
      <c r="B21" s="70">
        <v>78912507.97</v>
      </c>
      <c r="C21" s="70">
        <v>700494.4399999998</v>
      </c>
      <c r="D21" s="70">
        <f t="shared" si="0"/>
        <v>72369358.08</v>
      </c>
      <c r="E21" s="70">
        <v>5842655.449999998</v>
      </c>
      <c r="F21" s="71">
        <v>931</v>
      </c>
      <c r="G21" s="70">
        <f>_xlfn.IFERROR((E21/F21/31)," ")</f>
        <v>202.44119919614698</v>
      </c>
      <c r="I21" s="70">
        <v>1986502.8399999999</v>
      </c>
      <c r="J21" s="70">
        <v>584265.5400000002</v>
      </c>
      <c r="K21" s="70">
        <v>3271887.080000001</v>
      </c>
    </row>
    <row r="22" spans="1:11" ht="12.75">
      <c r="A22" s="72">
        <v>44866</v>
      </c>
      <c r="B22" s="70">
        <v>68564083.68</v>
      </c>
      <c r="C22" s="70">
        <v>759000.12</v>
      </c>
      <c r="D22" s="70">
        <f t="shared" si="0"/>
        <v>62939607.34</v>
      </c>
      <c r="E22" s="70">
        <v>4865476.220000001</v>
      </c>
      <c r="F22" s="71">
        <v>931</v>
      </c>
      <c r="G22" s="70">
        <f t="shared" si="1"/>
        <v>174.20251414249913</v>
      </c>
      <c r="I22" s="70">
        <v>1654261.9100000004</v>
      </c>
      <c r="J22" s="70">
        <v>486547.63999999996</v>
      </c>
      <c r="K22" s="70">
        <v>2724666.67</v>
      </c>
    </row>
    <row r="23" spans="1:11" ht="12.75">
      <c r="A23" s="72">
        <v>44896</v>
      </c>
      <c r="B23" s="70">
        <v>72396845.28999999</v>
      </c>
      <c r="C23" s="70">
        <v>784158.56</v>
      </c>
      <c r="D23" s="70">
        <f t="shared" si="0"/>
        <v>66543252.13899999</v>
      </c>
      <c r="E23" s="70">
        <v>5069434.591000001</v>
      </c>
      <c r="F23" s="71">
        <v>931</v>
      </c>
      <c r="G23" s="70">
        <f>_xlfn.IFERROR((E23/F23/31)," ")</f>
        <v>175.64999795571882</v>
      </c>
      <c r="I23" s="70">
        <v>1723607.76</v>
      </c>
      <c r="J23" s="70">
        <v>506943.4900000001</v>
      </c>
      <c r="K23" s="70">
        <v>2838883.3800000004</v>
      </c>
    </row>
    <row r="24" spans="1:11" ht="12.75">
      <c r="A24" s="72">
        <v>44927</v>
      </c>
      <c r="B24" s="70">
        <v>84959752.58000001</v>
      </c>
      <c r="C24" s="70">
        <v>823772.05</v>
      </c>
      <c r="D24" s="70">
        <f t="shared" si="0"/>
        <v>77858121.90000002</v>
      </c>
      <c r="E24" s="70">
        <v>6277858.630000001</v>
      </c>
      <c r="F24" s="71">
        <v>931</v>
      </c>
      <c r="G24" s="70">
        <f>_xlfn.IFERROR((E24/F24/31)," ")</f>
        <v>217.5204819652819</v>
      </c>
      <c r="I24" s="70">
        <v>2134471.93</v>
      </c>
      <c r="J24" s="70">
        <v>627785.8600000003</v>
      </c>
      <c r="K24" s="70">
        <v>3515600.8200000003</v>
      </c>
    </row>
    <row r="25" spans="1:11" ht="12.75">
      <c r="A25" s="72">
        <v>44958</v>
      </c>
      <c r="B25" s="70">
        <v>82157532.64</v>
      </c>
      <c r="C25" s="70">
        <v>706506.88</v>
      </c>
      <c r="D25" s="70">
        <f t="shared" si="0"/>
        <v>75187173.98</v>
      </c>
      <c r="E25" s="70">
        <v>6263851.78</v>
      </c>
      <c r="F25" s="71">
        <v>931</v>
      </c>
      <c r="G25" s="70">
        <f>_xlfn.IFERROR((E25/F25/28)," ")</f>
        <v>240.28892818781648</v>
      </c>
      <c r="I25" s="70">
        <v>2129709.62</v>
      </c>
      <c r="J25" s="70">
        <v>626385.1699999999</v>
      </c>
      <c r="K25" s="70">
        <v>3507757.03</v>
      </c>
    </row>
    <row r="26" spans="1:11" ht="12.75">
      <c r="A26" s="72">
        <v>44986</v>
      </c>
      <c r="B26" s="70">
        <v>95913848.31</v>
      </c>
      <c r="C26" s="70">
        <v>946431.7200000004</v>
      </c>
      <c r="D26" s="70">
        <f t="shared" si="0"/>
        <v>87708415.66</v>
      </c>
      <c r="E26" s="70">
        <v>7259000.930000002</v>
      </c>
      <c r="F26" s="71">
        <v>931</v>
      </c>
      <c r="G26" s="70">
        <f>_xlfn.IFERROR((E26/F26/31)," ")</f>
        <v>251.51591871383533</v>
      </c>
      <c r="I26" s="70">
        <v>2468060.32</v>
      </c>
      <c r="J26" s="70">
        <v>725900.12</v>
      </c>
      <c r="K26" s="70">
        <v>4065040.5100000002</v>
      </c>
    </row>
    <row r="27" spans="1:11" ht="13.5" thickBot="1">
      <c r="A27" s="112" t="s">
        <v>21</v>
      </c>
      <c r="B27" s="108">
        <f>SUM(B15:B26)</f>
        <v>990099713.1099999</v>
      </c>
      <c r="C27" s="108">
        <f>SUM(C15:C26)</f>
        <v>9714002.65</v>
      </c>
      <c r="D27" s="111">
        <f>SUM(D15:D26)</f>
        <v>908143418.5789999</v>
      </c>
      <c r="E27" s="108">
        <f>SUM(E15:E26)</f>
        <v>72242291.881</v>
      </c>
      <c r="F27" s="68">
        <f>AVERAGE(F15:F26)</f>
        <v>930.6666666666666</v>
      </c>
      <c r="G27" s="66">
        <f>AVERAGE(G15:G26)</f>
        <v>212.84636270678652</v>
      </c>
      <c r="H27" s="109"/>
      <c r="I27" s="108">
        <f>SUM(I15:I26)</f>
        <v>24562379.260000005</v>
      </c>
      <c r="J27" s="108">
        <f>SUM(J15:J26)</f>
        <v>7224229.420000001</v>
      </c>
      <c r="K27" s="108">
        <f>SUM(K15:K26)</f>
        <v>40455683.489999995</v>
      </c>
    </row>
    <row r="28" spans="2:11" ht="10.5" customHeight="1" thickTop="1">
      <c r="B28" s="106"/>
      <c r="C28" s="106"/>
      <c r="D28" s="107"/>
      <c r="E28" s="106"/>
      <c r="I28" s="106"/>
      <c r="J28" s="106"/>
      <c r="K28" s="106"/>
    </row>
    <row r="29" spans="1:11" s="102" customFormat="1" ht="12.75">
      <c r="A29" s="105"/>
      <c r="B29" s="103"/>
      <c r="C29" s="104">
        <f>_xlfn.IFERROR(C27/B27,"")</f>
        <v>0.009811135708228183</v>
      </c>
      <c r="D29" s="104">
        <f>_xlfn.IFERROR(D27/B27,"")</f>
        <v>0.9172242013144642</v>
      </c>
      <c r="E29" s="103">
        <f>_xlfn.IFERROR(E27/B27,"")</f>
        <v>0.07296466297730751</v>
      </c>
      <c r="I29" s="103">
        <f>_xlfn.IFERROR(I27/$E$27,"")</f>
        <v>0.3400000002832137</v>
      </c>
      <c r="J29" s="103">
        <f>_xlfn.IFERROR(J27/$E$27,"")</f>
        <v>0.10000000321003107</v>
      </c>
      <c r="K29" s="103">
        <f>_xlfn.IFERROR(K27/$E$27,"")</f>
        <v>0.5600000005071821</v>
      </c>
    </row>
    <row r="31" spans="1:11" s="75" customFormat="1" ht="12.75">
      <c r="A31" s="131" t="s">
        <v>22</v>
      </c>
      <c r="B31" s="132"/>
      <c r="C31" s="132"/>
      <c r="D31" s="132"/>
      <c r="E31" s="132"/>
      <c r="F31" s="132"/>
      <c r="G31" s="132"/>
      <c r="H31" s="132"/>
      <c r="I31" s="132"/>
      <c r="J31" s="132"/>
      <c r="K31" s="132"/>
    </row>
    <row r="32" ht="12.75">
      <c r="A32" s="74"/>
    </row>
    <row r="33" spans="1:11" s="64" customFormat="1" ht="12.75" customHeight="1">
      <c r="A33" s="60" t="s">
        <v>23</v>
      </c>
      <c r="B33" s="61"/>
      <c r="C33" s="62" t="s">
        <v>96</v>
      </c>
      <c r="D33" s="63"/>
      <c r="E33" s="63"/>
      <c r="F33" s="63"/>
      <c r="G33" s="63"/>
      <c r="H33" s="63"/>
      <c r="I33" s="63"/>
      <c r="J33" s="63"/>
      <c r="K33" s="63"/>
    </row>
    <row r="34" spans="1:11" s="64" customFormat="1" ht="12.75" customHeight="1">
      <c r="A34" s="60"/>
      <c r="B34" s="61"/>
      <c r="C34" s="62" t="s">
        <v>97</v>
      </c>
      <c r="D34" s="63"/>
      <c r="E34" s="63"/>
      <c r="F34" s="63"/>
      <c r="G34" s="63"/>
      <c r="H34" s="63"/>
      <c r="I34" s="63"/>
      <c r="J34" s="63"/>
      <c r="K34" s="63"/>
    </row>
    <row r="35" spans="1:11" s="95" customFormat="1" ht="6" customHeight="1">
      <c r="A35" s="98"/>
      <c r="B35" s="93"/>
      <c r="C35" s="78"/>
      <c r="E35" s="101"/>
      <c r="F35" s="101"/>
      <c r="G35" s="101"/>
      <c r="H35" s="101"/>
      <c r="I35" s="101"/>
      <c r="J35" s="101"/>
      <c r="K35" s="101"/>
    </row>
    <row r="36" spans="1:11" s="95" customFormat="1" ht="12.75">
      <c r="A36" s="98" t="s">
        <v>99</v>
      </c>
      <c r="B36" s="93"/>
      <c r="C36" s="78" t="s">
        <v>89</v>
      </c>
      <c r="D36" s="96"/>
      <c r="E36" s="96"/>
      <c r="F36" s="78"/>
      <c r="G36" s="78"/>
      <c r="H36" s="78"/>
      <c r="I36" s="78"/>
      <c r="J36" s="93"/>
      <c r="K36" s="93"/>
    </row>
    <row r="37" spans="1:11" s="95" customFormat="1" ht="6" customHeight="1">
      <c r="A37" s="98"/>
      <c r="B37" s="93"/>
      <c r="C37" s="78"/>
      <c r="E37" s="96"/>
      <c r="F37" s="78"/>
      <c r="G37" s="78"/>
      <c r="H37" s="78"/>
      <c r="I37" s="78"/>
      <c r="J37" s="93"/>
      <c r="K37" s="93"/>
    </row>
    <row r="38" spans="1:11" s="95" customFormat="1" ht="12.75">
      <c r="A38" s="98" t="s">
        <v>24</v>
      </c>
      <c r="B38" s="93"/>
      <c r="C38" s="62" t="s">
        <v>103</v>
      </c>
      <c r="E38" s="96"/>
      <c r="F38" s="78"/>
      <c r="G38" s="78"/>
      <c r="H38" s="78"/>
      <c r="I38" s="78"/>
      <c r="J38" s="93"/>
      <c r="K38" s="93"/>
    </row>
    <row r="39" spans="1:11" s="95" customFormat="1" ht="6" customHeight="1">
      <c r="A39" s="98"/>
      <c r="B39" s="93"/>
      <c r="C39" s="78"/>
      <c r="E39" s="96"/>
      <c r="F39" s="78"/>
      <c r="G39" s="78"/>
      <c r="H39" s="78"/>
      <c r="I39" s="78"/>
      <c r="J39" s="93"/>
      <c r="K39" s="93"/>
    </row>
    <row r="40" spans="1:11" s="95" customFormat="1" ht="12.75">
      <c r="A40" s="98" t="s">
        <v>26</v>
      </c>
      <c r="B40" s="93"/>
      <c r="C40" s="93" t="s">
        <v>65</v>
      </c>
      <c r="E40" s="96"/>
      <c r="F40" s="97"/>
      <c r="G40" s="93"/>
      <c r="H40" s="93"/>
      <c r="I40" s="93"/>
      <c r="J40" s="93"/>
      <c r="K40" s="93"/>
    </row>
    <row r="41" spans="1:11" s="95" customFormat="1" ht="12.75">
      <c r="A41" s="98"/>
      <c r="B41" s="93"/>
      <c r="C41" s="93" t="s">
        <v>66</v>
      </c>
      <c r="E41" s="96"/>
      <c r="F41" s="97"/>
      <c r="G41" s="93"/>
      <c r="H41" s="93"/>
      <c r="I41" s="93"/>
      <c r="J41" s="93"/>
      <c r="K41" s="93"/>
    </row>
    <row r="42" spans="1:11" s="95" customFormat="1" ht="6" customHeight="1">
      <c r="A42" s="98"/>
      <c r="B42" s="93"/>
      <c r="C42" s="93"/>
      <c r="E42" s="96"/>
      <c r="F42" s="97"/>
      <c r="G42" s="93"/>
      <c r="H42" s="93"/>
      <c r="I42" s="93"/>
      <c r="J42" s="93"/>
      <c r="K42" s="93"/>
    </row>
    <row r="43" spans="1:11" s="95" customFormat="1" ht="12.75">
      <c r="A43" s="98" t="s">
        <v>29</v>
      </c>
      <c r="B43" s="93"/>
      <c r="C43" s="93" t="s">
        <v>30</v>
      </c>
      <c r="E43" s="96"/>
      <c r="F43" s="97"/>
      <c r="G43" s="93"/>
      <c r="H43" s="93"/>
      <c r="I43" s="93"/>
      <c r="J43" s="93"/>
      <c r="K43" s="93"/>
    </row>
    <row r="44" spans="1:11" s="95" customFormat="1" ht="6" customHeight="1">
      <c r="A44" s="98"/>
      <c r="B44" s="93"/>
      <c r="C44" s="93"/>
      <c r="D44" s="93"/>
      <c r="E44" s="96"/>
      <c r="F44" s="97"/>
      <c r="G44" s="93"/>
      <c r="H44" s="93"/>
      <c r="I44" s="93"/>
      <c r="J44" s="93"/>
      <c r="K44" s="93"/>
    </row>
    <row r="45" spans="1:11" s="95" customFormat="1" ht="12.75">
      <c r="A45" s="98" t="s">
        <v>76</v>
      </c>
      <c r="B45" s="93"/>
      <c r="C45" s="93" t="s">
        <v>105</v>
      </c>
      <c r="D45" s="96"/>
      <c r="E45" s="97"/>
      <c r="F45" s="93"/>
      <c r="G45" s="93"/>
      <c r="H45" s="93"/>
      <c r="I45" s="93"/>
      <c r="J45" s="93"/>
      <c r="K45" s="93"/>
    </row>
    <row r="46" spans="1:11" s="95" customFormat="1" ht="12.75">
      <c r="A46" s="98"/>
      <c r="B46" s="93"/>
      <c r="C46" s="93" t="s">
        <v>85</v>
      </c>
      <c r="D46" s="96"/>
      <c r="E46" s="97"/>
      <c r="F46" s="93"/>
      <c r="G46" s="93"/>
      <c r="H46" s="93"/>
      <c r="I46" s="93"/>
      <c r="J46" s="93"/>
      <c r="K46" s="93"/>
    </row>
    <row r="47" spans="1:11" s="95" customFormat="1" ht="12.75">
      <c r="A47" s="98"/>
      <c r="B47" s="93"/>
      <c r="C47" s="93" t="s">
        <v>86</v>
      </c>
      <c r="D47" s="96"/>
      <c r="E47" s="97"/>
      <c r="F47" s="93"/>
      <c r="G47" s="93"/>
      <c r="H47" s="93"/>
      <c r="I47" s="93"/>
      <c r="J47" s="93"/>
      <c r="K47" s="93"/>
    </row>
    <row r="48" spans="1:11" s="64" customFormat="1" ht="3" customHeight="1">
      <c r="A48" s="60"/>
      <c r="B48" s="61"/>
      <c r="C48" s="61"/>
      <c r="D48" s="127"/>
      <c r="E48" s="128"/>
      <c r="F48" s="61"/>
      <c r="G48" s="61"/>
      <c r="H48" s="61"/>
      <c r="I48" s="61"/>
      <c r="J48" s="61"/>
      <c r="K48" s="61"/>
    </row>
    <row r="49" spans="1:11" s="64" customFormat="1" ht="12.75" customHeight="1">
      <c r="A49" s="60"/>
      <c r="B49" s="61"/>
      <c r="C49" s="62" t="s">
        <v>121</v>
      </c>
      <c r="D49" s="62"/>
      <c r="E49" s="62"/>
      <c r="F49" s="62"/>
      <c r="G49" s="62"/>
      <c r="H49" s="62"/>
      <c r="I49" s="62"/>
      <c r="J49" s="62"/>
      <c r="K49" s="62"/>
    </row>
    <row r="50" spans="1:11" s="64" customFormat="1" ht="12.75">
      <c r="A50" s="60"/>
      <c r="B50" s="61"/>
      <c r="C50" s="62" t="s">
        <v>122</v>
      </c>
      <c r="D50" s="62"/>
      <c r="E50" s="62"/>
      <c r="F50" s="62"/>
      <c r="G50" s="62"/>
      <c r="H50" s="62"/>
      <c r="I50" s="62"/>
      <c r="J50" s="62"/>
      <c r="K50" s="62"/>
    </row>
    <row r="51" spans="1:11" s="64" customFormat="1" ht="12.75">
      <c r="A51" s="60"/>
      <c r="B51" s="61"/>
      <c r="C51" s="62" t="s">
        <v>123</v>
      </c>
      <c r="D51" s="62"/>
      <c r="E51" s="62"/>
      <c r="F51" s="62"/>
      <c r="G51" s="62"/>
      <c r="H51" s="62"/>
      <c r="I51" s="62"/>
      <c r="J51" s="62"/>
      <c r="K51" s="62"/>
    </row>
    <row r="52" spans="1:11" s="95" customFormat="1" ht="6" customHeight="1">
      <c r="A52" s="98"/>
      <c r="B52" s="93"/>
      <c r="C52" s="93"/>
      <c r="D52" s="93"/>
      <c r="E52" s="96"/>
      <c r="F52" s="97"/>
      <c r="G52" s="93"/>
      <c r="H52" s="93"/>
      <c r="I52" s="93"/>
      <c r="J52" s="93"/>
      <c r="K52" s="93"/>
    </row>
    <row r="53" spans="1:11" s="95" customFormat="1" ht="12.75">
      <c r="A53" s="98" t="s">
        <v>88</v>
      </c>
      <c r="B53" s="93"/>
      <c r="C53" s="93" t="s">
        <v>80</v>
      </c>
      <c r="D53" s="96"/>
      <c r="E53" s="97"/>
      <c r="F53" s="93"/>
      <c r="G53" s="93"/>
      <c r="H53" s="93"/>
      <c r="I53" s="93"/>
      <c r="J53" s="93"/>
      <c r="K53" s="93"/>
    </row>
    <row r="54" spans="1:11" s="95" customFormat="1" ht="12.75">
      <c r="A54" s="73"/>
      <c r="B54" s="93"/>
      <c r="C54" s="93" t="s">
        <v>81</v>
      </c>
      <c r="D54" s="96"/>
      <c r="E54" s="97"/>
      <c r="F54" s="93"/>
      <c r="G54" s="93"/>
      <c r="H54" s="93"/>
      <c r="I54" s="93"/>
      <c r="J54" s="93"/>
      <c r="K54" s="93"/>
    </row>
    <row r="55" spans="1:11" ht="12.75">
      <c r="A55" s="94"/>
      <c r="B55" s="91"/>
      <c r="C55" s="91"/>
      <c r="D55" s="93"/>
      <c r="E55" s="91"/>
      <c r="F55" s="92"/>
      <c r="G55" s="91"/>
      <c r="H55" s="91"/>
      <c r="I55" s="91"/>
      <c r="J55" s="91"/>
      <c r="K55" s="91"/>
    </row>
    <row r="56" spans="1:11" s="75" customFormat="1" ht="12.75">
      <c r="A56" s="131" t="s">
        <v>32</v>
      </c>
      <c r="B56" s="132"/>
      <c r="C56" s="132"/>
      <c r="D56" s="132"/>
      <c r="E56" s="132"/>
      <c r="F56" s="132"/>
      <c r="G56" s="132"/>
      <c r="H56" s="132"/>
      <c r="I56" s="132"/>
      <c r="J56" s="132"/>
      <c r="K56" s="132"/>
    </row>
    <row r="57" ht="12.75">
      <c r="A57" s="74"/>
    </row>
    <row r="58" spans="1:11" ht="13.5">
      <c r="A58" s="90"/>
      <c r="D58" s="89" t="s">
        <v>10</v>
      </c>
      <c r="E58" s="89" t="s">
        <v>83</v>
      </c>
      <c r="F58" s="130" t="s">
        <v>90</v>
      </c>
      <c r="G58" s="130"/>
      <c r="H58" s="130"/>
      <c r="I58" s="130"/>
      <c r="J58" s="114"/>
      <c r="K58" s="69"/>
    </row>
    <row r="59" spans="1:11" ht="12.75">
      <c r="A59" s="88"/>
      <c r="D59" s="85" t="s">
        <v>18</v>
      </c>
      <c r="E59" s="85" t="s">
        <v>84</v>
      </c>
      <c r="F59" s="85" t="s">
        <v>91</v>
      </c>
      <c r="G59" s="87" t="s">
        <v>92</v>
      </c>
      <c r="H59" s="86"/>
      <c r="I59" s="85" t="s">
        <v>93</v>
      </c>
      <c r="J59" s="114"/>
      <c r="K59" s="69"/>
    </row>
    <row r="60" spans="2:11" ht="12.75">
      <c r="B60" s="80"/>
      <c r="C60" s="80"/>
      <c r="D60" s="81">
        <v>0.34</v>
      </c>
      <c r="E60" s="81">
        <v>0.1</v>
      </c>
      <c r="F60" s="81">
        <v>0.46</v>
      </c>
      <c r="G60" s="83">
        <v>0.0875</v>
      </c>
      <c r="H60" s="82"/>
      <c r="I60" s="81">
        <v>0.0125</v>
      </c>
      <c r="J60" s="126"/>
      <c r="K60" s="69"/>
    </row>
    <row r="61" spans="2:11" ht="12.75">
      <c r="B61" s="80"/>
      <c r="C61" s="80"/>
      <c r="D61" s="80"/>
      <c r="E61" s="78"/>
      <c r="F61" s="79"/>
      <c r="G61" s="77"/>
      <c r="H61" s="78"/>
      <c r="I61" s="77"/>
      <c r="J61" s="77"/>
      <c r="K61" s="77"/>
    </row>
    <row r="62" spans="1:11" s="75" customFormat="1" ht="12.75">
      <c r="A62" s="133" t="s">
        <v>46</v>
      </c>
      <c r="B62" s="134"/>
      <c r="C62" s="134"/>
      <c r="D62" s="134"/>
      <c r="E62" s="134"/>
      <c r="F62" s="134"/>
      <c r="G62" s="134"/>
      <c r="H62" s="134"/>
      <c r="I62" s="134"/>
      <c r="J62" s="134"/>
      <c r="K62" s="134"/>
    </row>
    <row r="63" spans="1:6" ht="10.5" customHeight="1">
      <c r="A63" s="74"/>
      <c r="E63" s="69"/>
      <c r="F63" s="70"/>
    </row>
    <row r="64" spans="1:11" ht="51.75" customHeight="1">
      <c r="A64" s="135" t="s">
        <v>129</v>
      </c>
      <c r="B64" s="135"/>
      <c r="C64" s="135"/>
      <c r="D64" s="135"/>
      <c r="E64" s="135"/>
      <c r="F64" s="135"/>
      <c r="G64" s="135"/>
      <c r="H64" s="135"/>
      <c r="I64" s="135"/>
      <c r="J64" s="135"/>
      <c r="K64" s="135"/>
    </row>
    <row r="65" spans="1:6" ht="12.75">
      <c r="A65" s="70"/>
      <c r="E65" s="69"/>
      <c r="F65" s="70"/>
    </row>
    <row r="66" spans="2:5" ht="12.75">
      <c r="B66" s="74" t="s">
        <v>47</v>
      </c>
      <c r="C66" s="74"/>
      <c r="D66" s="74"/>
      <c r="E66" s="70">
        <v>865679</v>
      </c>
    </row>
    <row r="67" spans="2:5" ht="12.75">
      <c r="B67" s="74" t="s">
        <v>48</v>
      </c>
      <c r="C67" s="74"/>
      <c r="D67" s="74"/>
      <c r="E67" s="70">
        <v>288560</v>
      </c>
    </row>
    <row r="68" spans="2:5" ht="7.5" customHeight="1">
      <c r="B68" s="70" t="s">
        <v>33</v>
      </c>
      <c r="E68" s="70" t="s">
        <v>33</v>
      </c>
    </row>
    <row r="69" ht="12.75">
      <c r="E69" s="70" t="s">
        <v>33</v>
      </c>
    </row>
    <row r="70" ht="15" customHeight="1">
      <c r="A70" s="129" t="s">
        <v>100</v>
      </c>
    </row>
  </sheetData>
  <sheetProtection/>
  <mergeCells count="12">
    <mergeCell ref="I10:K10"/>
    <mergeCell ref="A31:K31"/>
    <mergeCell ref="A56:K56"/>
    <mergeCell ref="F58:I58"/>
    <mergeCell ref="A62:K62"/>
    <mergeCell ref="A64:K64"/>
    <mergeCell ref="A1:K1"/>
    <mergeCell ref="A2:K2"/>
    <mergeCell ref="A3:K3"/>
    <mergeCell ref="A4:K4"/>
    <mergeCell ref="A5:K5"/>
    <mergeCell ref="A8:K8"/>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81" r:id="rId3"/>
  <ignoredErrors>
    <ignoredError sqref="G16:G25" formula="1"/>
  </ignoredErrors>
  <drawing r:id="rId2"/>
</worksheet>
</file>

<file path=xl/worksheets/sheet20.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B29" sqref="B29"/>
    </sheetView>
  </sheetViews>
  <sheetFormatPr defaultColWidth="9.140625" defaultRowHeight="12.75"/>
  <cols>
    <col min="1" max="1" width="9.28125" style="3" customWidth="1"/>
    <col min="2" max="3" width="14.140625" style="16" customWidth="1"/>
    <col min="4" max="4" width="13.28125" style="16" customWidth="1"/>
    <col min="5" max="5" width="8.8515625" style="17" customWidth="1"/>
    <col min="6" max="6" width="10.28125" style="16" customWidth="1"/>
    <col min="7" max="7" width="1.421875" style="16" customWidth="1"/>
    <col min="8" max="11" width="14.57421875" style="16" customWidth="1"/>
    <col min="12" max="12" width="12.7109375" style="0" customWidth="1"/>
    <col min="13" max="18" width="9.57421875" style="0" customWidth="1"/>
  </cols>
  <sheetData>
    <row r="1" spans="1:11" ht="18">
      <c r="A1" s="152" t="s">
        <v>0</v>
      </c>
      <c r="B1" s="152"/>
      <c r="C1" s="152"/>
      <c r="D1" s="152"/>
      <c r="E1" s="152"/>
      <c r="F1" s="152"/>
      <c r="G1" s="152"/>
      <c r="H1" s="152"/>
      <c r="I1" s="152"/>
      <c r="J1" s="152"/>
      <c r="K1" s="152"/>
    </row>
    <row r="2" spans="1:11" ht="15">
      <c r="A2" s="153" t="s">
        <v>1</v>
      </c>
      <c r="B2" s="153"/>
      <c r="C2" s="153"/>
      <c r="D2" s="153"/>
      <c r="E2" s="153"/>
      <c r="F2" s="153"/>
      <c r="G2" s="153"/>
      <c r="H2" s="153"/>
      <c r="I2" s="153"/>
      <c r="J2" s="153"/>
      <c r="K2" s="153"/>
    </row>
    <row r="3" spans="1:11" s="1" customFormat="1" ht="15">
      <c r="A3" s="153" t="s">
        <v>2</v>
      </c>
      <c r="B3" s="153"/>
      <c r="C3" s="153"/>
      <c r="D3" s="153"/>
      <c r="E3" s="153"/>
      <c r="F3" s="153"/>
      <c r="G3" s="153"/>
      <c r="H3" s="153"/>
      <c r="I3" s="153"/>
      <c r="J3" s="153"/>
      <c r="K3" s="153"/>
    </row>
    <row r="4" spans="1:11" s="1" customFormat="1" ht="14.25">
      <c r="A4" s="139" t="s">
        <v>3</v>
      </c>
      <c r="B4" s="139"/>
      <c r="C4" s="139"/>
      <c r="D4" s="139"/>
      <c r="E4" s="139"/>
      <c r="F4" s="139"/>
      <c r="G4" s="139"/>
      <c r="H4" s="139"/>
      <c r="I4" s="139"/>
      <c r="J4" s="139"/>
      <c r="K4" s="139"/>
    </row>
    <row r="5" spans="1:11" s="1" customFormat="1" ht="14.25">
      <c r="A5" s="154" t="s">
        <v>4</v>
      </c>
      <c r="B5" s="154"/>
      <c r="C5" s="154"/>
      <c r="D5" s="154"/>
      <c r="E5" s="154"/>
      <c r="F5" s="154"/>
      <c r="G5" s="154"/>
      <c r="H5" s="154"/>
      <c r="I5" s="154"/>
      <c r="J5" s="154"/>
      <c r="K5" s="154"/>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44" t="s">
        <v>36</v>
      </c>
      <c r="B8" s="145"/>
      <c r="C8" s="145"/>
      <c r="D8" s="145"/>
      <c r="E8" s="145"/>
      <c r="F8" s="145"/>
      <c r="G8" s="145"/>
      <c r="H8" s="145"/>
      <c r="I8" s="145"/>
      <c r="J8" s="145"/>
      <c r="K8" s="146"/>
    </row>
    <row r="9" spans="1:11" s="1" customFormat="1" ht="9" customHeight="1">
      <c r="A9" s="3"/>
      <c r="B9" s="4"/>
      <c r="C9" s="4"/>
      <c r="D9" s="5"/>
      <c r="E9" s="6"/>
      <c r="F9" s="5"/>
      <c r="G9" s="5"/>
      <c r="H9" s="5"/>
      <c r="I9" s="5"/>
      <c r="J9" s="5"/>
      <c r="K9" s="5"/>
    </row>
    <row r="10" spans="1:11" s="1" customFormat="1" ht="12.75">
      <c r="A10" s="3"/>
      <c r="B10" s="5"/>
      <c r="C10" s="5"/>
      <c r="D10" s="5"/>
      <c r="E10" s="6"/>
      <c r="F10" s="5"/>
      <c r="G10" s="5"/>
      <c r="H10" s="143" t="s">
        <v>6</v>
      </c>
      <c r="I10" s="143"/>
      <c r="J10" s="143"/>
      <c r="K10" s="143"/>
    </row>
    <row r="11" spans="1:11" s="1" customFormat="1" ht="7.5" customHeight="1">
      <c r="A11" s="3"/>
      <c r="B11" s="5"/>
      <c r="C11" s="5"/>
      <c r="D11" s="5"/>
      <c r="E11" s="6"/>
      <c r="F11" s="5"/>
      <c r="G11" s="5"/>
      <c r="H11" s="5"/>
      <c r="I11" s="5"/>
      <c r="J11" s="5"/>
      <c r="K11" s="5"/>
    </row>
    <row r="12" spans="1:11" s="12" customFormat="1" ht="12">
      <c r="A12" s="9"/>
      <c r="B12" s="10" t="s">
        <v>7</v>
      </c>
      <c r="C12" s="10" t="s">
        <v>7</v>
      </c>
      <c r="D12" s="10"/>
      <c r="E12" s="11" t="s">
        <v>8</v>
      </c>
      <c r="F12" s="10" t="s">
        <v>9</v>
      </c>
      <c r="G12" s="10"/>
      <c r="H12" s="10" t="s">
        <v>10</v>
      </c>
      <c r="I12" s="10" t="s">
        <v>82</v>
      </c>
      <c r="J12" s="10" t="s">
        <v>11</v>
      </c>
      <c r="K12" s="10" t="s">
        <v>83</v>
      </c>
    </row>
    <row r="13" spans="1:11" s="12" customFormat="1" ht="12">
      <c r="A13" s="13" t="s">
        <v>12</v>
      </c>
      <c r="B13" s="8" t="s">
        <v>13</v>
      </c>
      <c r="C13" s="8" t="s">
        <v>14</v>
      </c>
      <c r="D13" s="8" t="s">
        <v>15</v>
      </c>
      <c r="E13" s="14" t="s">
        <v>16</v>
      </c>
      <c r="F13" s="8" t="s">
        <v>17</v>
      </c>
      <c r="G13" s="15"/>
      <c r="H13" s="8" t="s">
        <v>18</v>
      </c>
      <c r="I13" s="8" t="s">
        <v>19</v>
      </c>
      <c r="J13" s="8" t="s">
        <v>20</v>
      </c>
      <c r="K13" s="8" t="s">
        <v>84</v>
      </c>
    </row>
    <row r="15" spans="1:11" ht="12.75">
      <c r="A15" s="3">
        <v>38078</v>
      </c>
      <c r="B15" s="16">
        <v>42951880.15</v>
      </c>
      <c r="C15" s="16">
        <f aca="true" t="shared" si="0" ref="C15:C26">B15-D15</f>
        <v>39637622.31</v>
      </c>
      <c r="D15" s="16">
        <v>3314257.84</v>
      </c>
      <c r="E15" s="17">
        <f>29700/30</f>
        <v>990</v>
      </c>
      <c r="F15" s="16">
        <v>111.5911730639731</v>
      </c>
      <c r="H15" s="18">
        <v>2021697.2824000004</v>
      </c>
      <c r="I15" s="16">
        <f aca="true" t="shared" si="1" ref="I15:I26">D15*0.29</f>
        <v>961134.7735999998</v>
      </c>
      <c r="J15" s="16">
        <v>0</v>
      </c>
      <c r="K15" s="16">
        <f aca="true" t="shared" si="2" ref="K15:K26">D15*0.1</f>
        <v>331425.784</v>
      </c>
    </row>
    <row r="16" spans="1:11" ht="12.75">
      <c r="A16" s="3">
        <v>38108</v>
      </c>
      <c r="B16" s="16">
        <v>36691097.309999995</v>
      </c>
      <c r="C16" s="16">
        <f t="shared" si="0"/>
        <v>33819295.10999999</v>
      </c>
      <c r="D16" s="16">
        <v>2871802.2</v>
      </c>
      <c r="E16" s="17">
        <f>30690/31</f>
        <v>990</v>
      </c>
      <c r="F16" s="16">
        <v>93.57452590420334</v>
      </c>
      <c r="H16" s="16">
        <v>1751799.342</v>
      </c>
      <c r="I16" s="16">
        <f t="shared" si="1"/>
        <v>832822.638</v>
      </c>
      <c r="J16" s="16">
        <v>0</v>
      </c>
      <c r="K16" s="16">
        <f t="shared" si="2"/>
        <v>287180.22000000003</v>
      </c>
    </row>
    <row r="17" spans="1:11" ht="12.75">
      <c r="A17" s="3">
        <v>38139</v>
      </c>
      <c r="B17" s="16">
        <v>32623395.039999995</v>
      </c>
      <c r="C17" s="16">
        <f t="shared" si="0"/>
        <v>29899330.249999996</v>
      </c>
      <c r="D17" s="16">
        <v>2724064.79</v>
      </c>
      <c r="E17" s="17">
        <f>29700/30</f>
        <v>990</v>
      </c>
      <c r="F17" s="16">
        <v>91.71935319865318</v>
      </c>
      <c r="H17" s="16">
        <v>1661679.5219</v>
      </c>
      <c r="I17" s="16">
        <f t="shared" si="1"/>
        <v>789978.7890999999</v>
      </c>
      <c r="J17" s="16">
        <v>0</v>
      </c>
      <c r="K17" s="16">
        <f t="shared" si="2"/>
        <v>272406.479</v>
      </c>
    </row>
    <row r="18" spans="1:11" ht="12.75">
      <c r="A18" s="3">
        <v>38169</v>
      </c>
      <c r="B18" s="16">
        <v>37962538.85</v>
      </c>
      <c r="C18" s="16">
        <f t="shared" si="0"/>
        <v>34785039.44</v>
      </c>
      <c r="D18" s="16">
        <v>3177499.41</v>
      </c>
      <c r="E18" s="17">
        <f>30690/31</f>
        <v>990</v>
      </c>
      <c r="F18" s="16">
        <v>103.53533431085042</v>
      </c>
      <c r="H18" s="16">
        <v>1938274.6401000002</v>
      </c>
      <c r="I18" s="16">
        <f t="shared" si="1"/>
        <v>921474.8289</v>
      </c>
      <c r="J18" s="16">
        <v>0</v>
      </c>
      <c r="K18" s="16">
        <f t="shared" si="2"/>
        <v>317749.94100000005</v>
      </c>
    </row>
    <row r="19" spans="1:11" ht="12.75">
      <c r="A19" s="3">
        <v>38200</v>
      </c>
      <c r="B19" s="16">
        <v>28981456.71</v>
      </c>
      <c r="C19" s="16">
        <f t="shared" si="0"/>
        <v>26502350.52</v>
      </c>
      <c r="D19" s="16">
        <v>2479106.19</v>
      </c>
      <c r="E19" s="17">
        <f>30690/31</f>
        <v>990</v>
      </c>
      <c r="F19" s="16">
        <v>80.7789569892473</v>
      </c>
      <c r="H19" s="16">
        <v>1512254.7759000002</v>
      </c>
      <c r="I19" s="16">
        <f t="shared" si="1"/>
        <v>718940.7951</v>
      </c>
      <c r="J19" s="16">
        <v>0</v>
      </c>
      <c r="K19" s="16">
        <f t="shared" si="2"/>
        <v>247910.619</v>
      </c>
    </row>
    <row r="20" spans="1:11" ht="12.75">
      <c r="A20" s="3">
        <v>38231</v>
      </c>
      <c r="B20" s="16">
        <v>31292117.590000004</v>
      </c>
      <c r="C20" s="16">
        <f t="shared" si="0"/>
        <v>28629219.290000003</v>
      </c>
      <c r="D20" s="16">
        <v>2662898.3</v>
      </c>
      <c r="E20" s="17">
        <f>29700/30</f>
        <v>990</v>
      </c>
      <c r="F20" s="16">
        <v>89.65987542087545</v>
      </c>
      <c r="H20" s="16">
        <v>1624367.9629999998</v>
      </c>
      <c r="I20" s="16">
        <f t="shared" si="1"/>
        <v>772240.5069999999</v>
      </c>
      <c r="J20" s="16">
        <v>0</v>
      </c>
      <c r="K20" s="16">
        <f t="shared" si="2"/>
        <v>266289.83</v>
      </c>
    </row>
    <row r="21" spans="1:11" ht="12.75">
      <c r="A21" s="3">
        <v>38261</v>
      </c>
      <c r="B21" s="16">
        <v>34254948.03</v>
      </c>
      <c r="C21" s="16">
        <f t="shared" si="0"/>
        <v>31311498.830000002</v>
      </c>
      <c r="D21" s="16">
        <v>2943449.2</v>
      </c>
      <c r="E21" s="17">
        <f>30690/31</f>
        <v>990</v>
      </c>
      <c r="F21" s="16">
        <v>95.90906484196805</v>
      </c>
      <c r="H21" s="16">
        <v>1795504.0119999996</v>
      </c>
      <c r="I21" s="16">
        <f t="shared" si="1"/>
        <v>853600.268</v>
      </c>
      <c r="J21" s="16">
        <v>0</v>
      </c>
      <c r="K21" s="16">
        <f t="shared" si="2"/>
        <v>294344.92000000004</v>
      </c>
    </row>
    <row r="22" spans="1:11" ht="12.75">
      <c r="A22" s="3">
        <v>38292</v>
      </c>
      <c r="B22" s="16">
        <v>32069696.990000002</v>
      </c>
      <c r="C22" s="16">
        <f t="shared" si="0"/>
        <v>29304980.39</v>
      </c>
      <c r="D22" s="16">
        <v>2764716.6</v>
      </c>
      <c r="E22" s="17">
        <f>29700/30</f>
        <v>990</v>
      </c>
      <c r="F22" s="16">
        <v>93.08810101010101</v>
      </c>
      <c r="H22" s="16">
        <v>1686477.126</v>
      </c>
      <c r="I22" s="16">
        <f t="shared" si="1"/>
        <v>801767.814</v>
      </c>
      <c r="J22" s="16">
        <v>0</v>
      </c>
      <c r="K22" s="16">
        <f t="shared" si="2"/>
        <v>276471.66000000003</v>
      </c>
    </row>
    <row r="23" spans="1:11" ht="12.75">
      <c r="A23" s="3">
        <v>38322</v>
      </c>
      <c r="B23" s="16">
        <v>29937379.21</v>
      </c>
      <c r="C23" s="16">
        <f t="shared" si="0"/>
        <v>27390197.48</v>
      </c>
      <c r="D23" s="16">
        <v>2547181.73</v>
      </c>
      <c r="E23" s="17">
        <f>30690/31</f>
        <v>990</v>
      </c>
      <c r="F23" s="16">
        <v>82.99712381883351</v>
      </c>
      <c r="H23" s="16">
        <v>1553780.8553000002</v>
      </c>
      <c r="I23" s="16">
        <f t="shared" si="1"/>
        <v>738682.7017</v>
      </c>
      <c r="J23" s="16">
        <v>0</v>
      </c>
      <c r="K23" s="16">
        <f t="shared" si="2"/>
        <v>254718.173</v>
      </c>
    </row>
    <row r="24" spans="1:11" ht="12.75">
      <c r="A24" s="3">
        <v>38353</v>
      </c>
      <c r="B24" s="16">
        <v>32228526.019999996</v>
      </c>
      <c r="C24" s="16">
        <f t="shared" si="0"/>
        <v>29423019.449999996</v>
      </c>
      <c r="D24" s="16">
        <v>2805506.57</v>
      </c>
      <c r="E24" s="17">
        <f>30690/31</f>
        <v>990</v>
      </c>
      <c r="F24" s="16">
        <v>91.41435549038776</v>
      </c>
      <c r="H24" s="16">
        <v>1711359.0076999997</v>
      </c>
      <c r="I24" s="16">
        <f t="shared" si="1"/>
        <v>813596.9052999999</v>
      </c>
      <c r="J24" s="16">
        <v>0</v>
      </c>
      <c r="K24" s="16">
        <f t="shared" si="2"/>
        <v>280550.657</v>
      </c>
    </row>
    <row r="25" spans="1:11" ht="12.75">
      <c r="A25" s="3">
        <v>38384</v>
      </c>
      <c r="B25" s="16">
        <v>33581372.52000001</v>
      </c>
      <c r="C25" s="16">
        <f t="shared" si="0"/>
        <v>30755042.370000012</v>
      </c>
      <c r="D25" s="16">
        <v>2826330.15</v>
      </c>
      <c r="E25" s="17">
        <f>27720/28</f>
        <v>990</v>
      </c>
      <c r="F25" s="16">
        <v>101.95996212121213</v>
      </c>
      <c r="H25" s="16">
        <v>1724061.3915000001</v>
      </c>
      <c r="I25" s="16">
        <f t="shared" si="1"/>
        <v>819635.7434999999</v>
      </c>
      <c r="J25" s="16">
        <v>0</v>
      </c>
      <c r="K25" s="16">
        <f t="shared" si="2"/>
        <v>282633.015</v>
      </c>
    </row>
    <row r="26" spans="1:11" ht="12.75">
      <c r="A26" s="3">
        <v>38412</v>
      </c>
      <c r="B26" s="16">
        <v>39584667.3</v>
      </c>
      <c r="C26" s="16">
        <f t="shared" si="0"/>
        <v>36308084.54</v>
      </c>
      <c r="D26" s="16">
        <v>3276582.76</v>
      </c>
      <c r="E26" s="17">
        <f>30668/31</f>
        <v>989.2903225806451</v>
      </c>
      <c r="F26" s="16">
        <v>106.84044476327117</v>
      </c>
      <c r="H26" s="16">
        <v>1998715.4836</v>
      </c>
      <c r="I26" s="16">
        <f t="shared" si="1"/>
        <v>950209.0003999999</v>
      </c>
      <c r="J26" s="16">
        <v>0</v>
      </c>
      <c r="K26" s="16">
        <f t="shared" si="2"/>
        <v>327658.276</v>
      </c>
    </row>
    <row r="27" spans="1:11" ht="13.5" thickBot="1">
      <c r="A27" s="3" t="s">
        <v>21</v>
      </c>
      <c r="B27" s="19">
        <f>SUM(B15:B26)</f>
        <v>412159075.71999997</v>
      </c>
      <c r="C27" s="19">
        <f>SUM(C15:C26)</f>
        <v>377765679.98</v>
      </c>
      <c r="D27" s="19">
        <f>SUM(D15:D26)</f>
        <v>34393395.74</v>
      </c>
      <c r="H27" s="19">
        <f>SUM(H15:H26)</f>
        <v>20979971.4014</v>
      </c>
      <c r="I27" s="19">
        <f>SUM(I15:I26)</f>
        <v>9974084.7646</v>
      </c>
      <c r="J27" s="19">
        <f>SUM(J15:J26)</f>
        <v>0</v>
      </c>
      <c r="K27" s="19">
        <f>SUM(K15:K26)</f>
        <v>3439339.5740000005</v>
      </c>
    </row>
    <row r="28" spans="2:11" ht="10.5" customHeight="1" thickTop="1">
      <c r="B28" s="20"/>
      <c r="C28" s="20"/>
      <c r="D28" s="20"/>
      <c r="H28" s="20"/>
      <c r="I28" s="20"/>
      <c r="J28" s="20"/>
      <c r="K28" s="20"/>
    </row>
    <row r="29" spans="1:11" s="23" customFormat="1" ht="12.75">
      <c r="A29" s="21"/>
      <c r="B29" s="22"/>
      <c r="C29" s="22">
        <f>C27/B27</f>
        <v>0.9165531034833622</v>
      </c>
      <c r="D29" s="22">
        <f>D27/B27</f>
        <v>0.083446896516638</v>
      </c>
      <c r="H29" s="22">
        <f>H27/$D$27</f>
        <v>0.61</v>
      </c>
      <c r="I29" s="22">
        <f>I27/$D$27</f>
        <v>0.29</v>
      </c>
      <c r="J29" s="22">
        <f>J27/$D$27</f>
        <v>0</v>
      </c>
      <c r="K29" s="22">
        <f>K27/$D$27</f>
        <v>0.1</v>
      </c>
    </row>
    <row r="31" spans="1:11" s="24" customFormat="1" ht="12.75">
      <c r="A31" s="144" t="s">
        <v>22</v>
      </c>
      <c r="B31" s="145"/>
      <c r="C31" s="145"/>
      <c r="D31" s="145"/>
      <c r="E31" s="145"/>
      <c r="F31" s="145"/>
      <c r="G31" s="145"/>
      <c r="H31" s="145"/>
      <c r="I31" s="145"/>
      <c r="J31" s="145"/>
      <c r="K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1" ht="6" customHeight="1">
      <c r="A35" s="26"/>
      <c r="B35" s="27"/>
      <c r="C35" s="27"/>
      <c r="E35" s="27"/>
      <c r="F35" s="27"/>
      <c r="G35" s="27"/>
      <c r="H35" s="27"/>
      <c r="I35" s="27"/>
      <c r="J35" s="27"/>
      <c r="K35" s="27"/>
    </row>
    <row r="36" spans="1:11" ht="12.75">
      <c r="A36" s="26" t="s">
        <v>24</v>
      </c>
      <c r="B36" s="27"/>
      <c r="C36" s="27" t="s">
        <v>25</v>
      </c>
      <c r="E36" s="27"/>
      <c r="F36" s="27"/>
      <c r="G36" s="27"/>
      <c r="H36" s="27"/>
      <c r="I36" s="27"/>
      <c r="J36" s="27"/>
      <c r="K36" s="27"/>
    </row>
    <row r="37" spans="1:11" ht="6" customHeight="1">
      <c r="A37" s="26"/>
      <c r="B37" s="27"/>
      <c r="C37" s="27"/>
      <c r="E37" s="27"/>
      <c r="F37" s="27"/>
      <c r="G37" s="27"/>
      <c r="H37" s="27"/>
      <c r="I37" s="27"/>
      <c r="J37" s="27"/>
      <c r="K37" s="27"/>
    </row>
    <row r="38" spans="1:11" ht="12.75">
      <c r="A38" s="26" t="s">
        <v>26</v>
      </c>
      <c r="B38" s="27"/>
      <c r="C38" s="27" t="s">
        <v>27</v>
      </c>
      <c r="E38" s="28"/>
      <c r="F38" s="27"/>
      <c r="G38" s="27"/>
      <c r="H38" s="27"/>
      <c r="I38" s="27"/>
      <c r="J38" s="27"/>
      <c r="K38" s="27"/>
    </row>
    <row r="39" spans="1:11" ht="12.75">
      <c r="A39" s="26"/>
      <c r="B39" s="27"/>
      <c r="C39" s="27" t="s">
        <v>28</v>
      </c>
      <c r="E39" s="28"/>
      <c r="F39" s="27"/>
      <c r="G39" s="27"/>
      <c r="H39" s="27"/>
      <c r="I39" s="27"/>
      <c r="J39" s="27"/>
      <c r="K39" s="27"/>
    </row>
    <row r="40" spans="1:11" ht="6" customHeight="1">
      <c r="A40" s="26"/>
      <c r="B40" s="27"/>
      <c r="C40" s="27"/>
      <c r="E40" s="28"/>
      <c r="F40" s="27"/>
      <c r="G40" s="27"/>
      <c r="H40" s="27"/>
      <c r="I40" s="27"/>
      <c r="J40" s="27"/>
      <c r="K40" s="27"/>
    </row>
    <row r="41" spans="1:11" ht="12.75">
      <c r="A41" s="26" t="s">
        <v>29</v>
      </c>
      <c r="B41" s="27"/>
      <c r="C41" s="27" t="s">
        <v>30</v>
      </c>
      <c r="E41" s="28"/>
      <c r="F41" s="27"/>
      <c r="G41" s="27"/>
      <c r="H41" s="27"/>
      <c r="I41" s="27"/>
      <c r="J41" s="27"/>
      <c r="K41" s="27"/>
    </row>
    <row r="42" spans="1:11" ht="6" customHeight="1">
      <c r="A42" s="26"/>
      <c r="B42" s="27"/>
      <c r="C42" s="27"/>
      <c r="E42" s="28"/>
      <c r="F42" s="27"/>
      <c r="G42" s="27"/>
      <c r="H42" s="27"/>
      <c r="I42" s="27"/>
      <c r="J42" s="27"/>
      <c r="K42" s="27"/>
    </row>
    <row r="43" spans="1:12" s="47" customFormat="1" ht="12.75">
      <c r="A43" s="26" t="s">
        <v>76</v>
      </c>
      <c r="B43" s="44"/>
      <c r="C43" s="44" t="s">
        <v>77</v>
      </c>
      <c r="D43" s="45"/>
      <c r="E43" s="46"/>
      <c r="F43" s="44"/>
      <c r="G43" s="44"/>
      <c r="H43" s="44"/>
      <c r="I43" s="44"/>
      <c r="J43" s="44"/>
      <c r="K43" s="44"/>
      <c r="L43" s="44"/>
    </row>
    <row r="44" spans="1:12" s="47" customFormat="1" ht="12.75">
      <c r="A44" s="26"/>
      <c r="B44" s="44"/>
      <c r="C44" s="44" t="s">
        <v>85</v>
      </c>
      <c r="D44" s="45"/>
      <c r="E44" s="46"/>
      <c r="F44" s="44"/>
      <c r="G44" s="44"/>
      <c r="H44" s="44"/>
      <c r="I44" s="44"/>
      <c r="J44" s="44"/>
      <c r="K44" s="44"/>
      <c r="L44" s="44"/>
    </row>
    <row r="45" spans="1:12" s="47" customFormat="1" ht="12.75">
      <c r="A45" s="26"/>
      <c r="B45" s="44"/>
      <c r="C45" s="44" t="s">
        <v>86</v>
      </c>
      <c r="D45" s="45"/>
      <c r="E45" s="46"/>
      <c r="F45" s="44"/>
      <c r="G45" s="44"/>
      <c r="H45" s="44"/>
      <c r="I45" s="44"/>
      <c r="J45" s="44"/>
      <c r="K45" s="44"/>
      <c r="L45" s="44"/>
    </row>
    <row r="46" spans="1:11" ht="6" customHeight="1">
      <c r="A46" s="26"/>
      <c r="B46" s="27"/>
      <c r="C46" s="27"/>
      <c r="E46" s="28"/>
      <c r="F46" s="27"/>
      <c r="G46" s="27"/>
      <c r="H46" s="27"/>
      <c r="I46" s="27"/>
      <c r="J46" s="27"/>
      <c r="K46" s="27"/>
    </row>
    <row r="47" spans="1:12" s="47" customFormat="1" ht="12.75">
      <c r="A47" s="26" t="s">
        <v>31</v>
      </c>
      <c r="B47" s="44"/>
      <c r="C47" s="44" t="s">
        <v>78</v>
      </c>
      <c r="D47" s="45"/>
      <c r="E47" s="46"/>
      <c r="F47" s="44"/>
      <c r="G47" s="44"/>
      <c r="H47" s="44"/>
      <c r="I47" s="44"/>
      <c r="J47" s="44"/>
      <c r="K47" s="44"/>
      <c r="L47" s="44"/>
    </row>
    <row r="48" spans="1:12" s="47" customFormat="1" ht="12.75">
      <c r="A48" s="26"/>
      <c r="B48" s="44"/>
      <c r="C48" s="44" t="s">
        <v>79</v>
      </c>
      <c r="D48" s="45"/>
      <c r="E48" s="46"/>
      <c r="F48" s="44"/>
      <c r="G48" s="44"/>
      <c r="H48" s="44"/>
      <c r="I48" s="44"/>
      <c r="J48" s="44"/>
      <c r="K48" s="44"/>
      <c r="L48" s="44"/>
    </row>
    <row r="49" spans="1:11" ht="6" customHeight="1">
      <c r="A49" s="26"/>
      <c r="B49" s="27"/>
      <c r="C49" s="27"/>
      <c r="E49" s="28"/>
      <c r="F49" s="27"/>
      <c r="G49" s="27"/>
      <c r="H49" s="27"/>
      <c r="I49" s="27"/>
      <c r="J49" s="27"/>
      <c r="K49" s="27"/>
    </row>
    <row r="50" spans="1:12" s="47" customFormat="1" ht="12.75">
      <c r="A50" s="26" t="s">
        <v>88</v>
      </c>
      <c r="B50" s="44"/>
      <c r="C50" s="44" t="s">
        <v>80</v>
      </c>
      <c r="D50" s="45"/>
      <c r="E50" s="46"/>
      <c r="F50" s="44"/>
      <c r="G50" s="44"/>
      <c r="H50" s="44"/>
      <c r="I50" s="44"/>
      <c r="J50" s="44"/>
      <c r="K50" s="44"/>
      <c r="L50" s="44"/>
    </row>
    <row r="51" spans="1:12" s="47" customFormat="1" ht="12.75">
      <c r="A51" s="29"/>
      <c r="B51" s="44"/>
      <c r="C51" s="44" t="s">
        <v>81</v>
      </c>
      <c r="D51" s="45"/>
      <c r="E51" s="46"/>
      <c r="F51" s="44"/>
      <c r="G51" s="44"/>
      <c r="H51" s="44"/>
      <c r="I51" s="44"/>
      <c r="J51" s="44"/>
      <c r="K51" s="44"/>
      <c r="L51" s="44"/>
    </row>
    <row r="52" spans="1:11" ht="12.75">
      <c r="A52" s="30"/>
      <c r="B52" s="31"/>
      <c r="C52" s="31"/>
      <c r="D52" s="31"/>
      <c r="E52" s="32"/>
      <c r="F52" s="31"/>
      <c r="G52" s="31"/>
      <c r="H52" s="31"/>
      <c r="I52" s="31"/>
      <c r="J52" s="31"/>
      <c r="K52" s="31"/>
    </row>
    <row r="53" spans="1:11" s="24" customFormat="1" ht="12.75">
      <c r="A53" s="144" t="s">
        <v>32</v>
      </c>
      <c r="B53" s="145"/>
      <c r="C53" s="145"/>
      <c r="D53" s="145"/>
      <c r="E53" s="145"/>
      <c r="F53" s="145"/>
      <c r="G53" s="145"/>
      <c r="H53" s="145"/>
      <c r="I53" s="145"/>
      <c r="J53" s="145"/>
      <c r="K53" s="146"/>
    </row>
    <row r="54" ht="12.75">
      <c r="A54" s="25"/>
    </row>
    <row r="55" spans="1:11" ht="13.5">
      <c r="A55" s="33"/>
      <c r="F55" s="10" t="s">
        <v>10</v>
      </c>
      <c r="G55" s="34"/>
      <c r="H55" s="10" t="s">
        <v>82</v>
      </c>
      <c r="I55" s="10" t="s">
        <v>11</v>
      </c>
      <c r="J55" s="10" t="s">
        <v>83</v>
      </c>
      <c r="K55" s="35"/>
    </row>
    <row r="56" spans="1:11" ht="12.75">
      <c r="A56" s="36"/>
      <c r="F56" s="8" t="s">
        <v>18</v>
      </c>
      <c r="G56" s="37"/>
      <c r="H56" s="8" t="s">
        <v>19</v>
      </c>
      <c r="I56" s="8" t="s">
        <v>20</v>
      </c>
      <c r="J56" s="8" t="s">
        <v>84</v>
      </c>
      <c r="K56" s="35"/>
    </row>
    <row r="57" spans="2:11" ht="12.75">
      <c r="B57" s="27" t="s">
        <v>33</v>
      </c>
      <c r="F57" s="15"/>
      <c r="G57" s="38"/>
      <c r="H57" s="15"/>
      <c r="I57" s="15"/>
      <c r="J57" s="15"/>
      <c r="K57" s="39"/>
    </row>
    <row r="58" spans="2:11" ht="12.75">
      <c r="B58" s="40" t="s">
        <v>34</v>
      </c>
      <c r="C58" s="40"/>
      <c r="D58" s="27"/>
      <c r="E58" s="28"/>
      <c r="F58" s="41">
        <v>0.61</v>
      </c>
      <c r="G58" s="27"/>
      <c r="H58" s="41">
        <v>0.29</v>
      </c>
      <c r="I58" s="41">
        <v>0</v>
      </c>
      <c r="J58" s="41">
        <v>0.1</v>
      </c>
      <c r="K58" s="39"/>
    </row>
    <row r="61" ht="12.75">
      <c r="A61" s="25" t="s">
        <v>35</v>
      </c>
    </row>
  </sheetData>
  <sheetProtection/>
  <mergeCells count="9">
    <mergeCell ref="A31:K31"/>
    <mergeCell ref="A53:K53"/>
    <mergeCell ref="H10:K10"/>
    <mergeCell ref="A8:K8"/>
    <mergeCell ref="A5:K5"/>
    <mergeCell ref="A1:K1"/>
    <mergeCell ref="A2:K2"/>
    <mergeCell ref="A3:K3"/>
    <mergeCell ref="A4:K4"/>
  </mergeCells>
  <printOptions horizontalCentered="1"/>
  <pageMargins left="0.25" right="0.25" top="0.75" bottom="0.5" header="0.5" footer="0.5"/>
  <pageSetup fitToHeight="1" fitToWidth="1" horizontalDpi="600" verticalDpi="600" orientation="portrait" scale="80"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B29" sqref="B29"/>
    </sheetView>
  </sheetViews>
  <sheetFormatPr defaultColWidth="9.140625" defaultRowHeight="12.75"/>
  <cols>
    <col min="1" max="1" width="9.28125" style="3" customWidth="1"/>
    <col min="2" max="3" width="14.140625" style="16" customWidth="1"/>
    <col min="4" max="4" width="13.421875" style="16" customWidth="1"/>
    <col min="5" max="5" width="8.8515625" style="17" customWidth="1"/>
    <col min="6" max="6" width="10.28125" style="16" customWidth="1"/>
    <col min="7" max="7" width="1.421875" style="16" customWidth="1"/>
    <col min="8" max="11" width="14.28125" style="16" customWidth="1"/>
    <col min="12" max="12" width="12.7109375" style="0" customWidth="1"/>
    <col min="13" max="18" width="9.57421875" style="0" customWidth="1"/>
  </cols>
  <sheetData>
    <row r="1" spans="1:11" ht="18">
      <c r="A1" s="152" t="s">
        <v>0</v>
      </c>
      <c r="B1" s="152"/>
      <c r="C1" s="152"/>
      <c r="D1" s="152"/>
      <c r="E1" s="152"/>
      <c r="F1" s="152"/>
      <c r="G1" s="152"/>
      <c r="H1" s="152"/>
      <c r="I1" s="152"/>
      <c r="J1" s="152"/>
      <c r="K1" s="152"/>
    </row>
    <row r="2" spans="1:11" ht="15">
      <c r="A2" s="153" t="s">
        <v>1</v>
      </c>
      <c r="B2" s="153"/>
      <c r="C2" s="153"/>
      <c r="D2" s="153"/>
      <c r="E2" s="153"/>
      <c r="F2" s="153"/>
      <c r="G2" s="153"/>
      <c r="H2" s="153"/>
      <c r="I2" s="153"/>
      <c r="J2" s="153"/>
      <c r="K2" s="153"/>
    </row>
    <row r="3" spans="1:11" s="1" customFormat="1" ht="15">
      <c r="A3" s="153" t="s">
        <v>2</v>
      </c>
      <c r="B3" s="153"/>
      <c r="C3" s="153"/>
      <c r="D3" s="153"/>
      <c r="E3" s="153"/>
      <c r="F3" s="153"/>
      <c r="G3" s="153"/>
      <c r="H3" s="153"/>
      <c r="I3" s="153"/>
      <c r="J3" s="153"/>
      <c r="K3" s="153"/>
    </row>
    <row r="4" spans="1:11" s="1" customFormat="1" ht="14.25">
      <c r="A4" s="139" t="s">
        <v>3</v>
      </c>
      <c r="B4" s="139"/>
      <c r="C4" s="139"/>
      <c r="D4" s="139"/>
      <c r="E4" s="139"/>
      <c r="F4" s="139"/>
      <c r="G4" s="139"/>
      <c r="H4" s="139"/>
      <c r="I4" s="139"/>
      <c r="J4" s="139"/>
      <c r="K4" s="139"/>
    </row>
    <row r="5" spans="1:11" s="1" customFormat="1" ht="14.25">
      <c r="A5" s="154" t="s">
        <v>4</v>
      </c>
      <c r="B5" s="154"/>
      <c r="C5" s="154"/>
      <c r="D5" s="154"/>
      <c r="E5" s="154"/>
      <c r="F5" s="154"/>
      <c r="G5" s="154"/>
      <c r="H5" s="154"/>
      <c r="I5" s="154"/>
      <c r="J5" s="154"/>
      <c r="K5" s="154"/>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44" t="s">
        <v>5</v>
      </c>
      <c r="B8" s="145"/>
      <c r="C8" s="145"/>
      <c r="D8" s="145"/>
      <c r="E8" s="145"/>
      <c r="F8" s="145"/>
      <c r="G8" s="145"/>
      <c r="H8" s="145"/>
      <c r="I8" s="145"/>
      <c r="J8" s="145"/>
      <c r="K8" s="146"/>
    </row>
    <row r="9" spans="1:11" s="1" customFormat="1" ht="9" customHeight="1">
      <c r="A9" s="3"/>
      <c r="B9" s="4"/>
      <c r="C9" s="4"/>
      <c r="D9" s="5"/>
      <c r="E9" s="6"/>
      <c r="F9" s="5"/>
      <c r="G9" s="5"/>
      <c r="H9" s="5"/>
      <c r="I9" s="5"/>
      <c r="J9" s="5"/>
      <c r="K9" s="5"/>
    </row>
    <row r="10" spans="1:11" s="1" customFormat="1" ht="12.75">
      <c r="A10" s="3"/>
      <c r="B10" s="5"/>
      <c r="C10" s="5"/>
      <c r="D10" s="5"/>
      <c r="E10" s="6"/>
      <c r="F10" s="5"/>
      <c r="G10" s="5"/>
      <c r="H10" s="143" t="s">
        <v>6</v>
      </c>
      <c r="I10" s="143"/>
      <c r="J10" s="143"/>
      <c r="K10" s="143"/>
    </row>
    <row r="11" spans="1:11" s="1" customFormat="1" ht="7.5" customHeight="1">
      <c r="A11" s="3"/>
      <c r="B11" s="5"/>
      <c r="C11" s="5"/>
      <c r="D11" s="5"/>
      <c r="E11" s="6"/>
      <c r="F11" s="5"/>
      <c r="G11" s="5"/>
      <c r="H11" s="5"/>
      <c r="I11" s="5"/>
      <c r="J11" s="5"/>
      <c r="K11" s="5"/>
    </row>
    <row r="12" spans="1:11" s="12" customFormat="1" ht="12">
      <c r="A12" s="9"/>
      <c r="B12" s="10" t="s">
        <v>7</v>
      </c>
      <c r="C12" s="10" t="s">
        <v>7</v>
      </c>
      <c r="D12" s="10"/>
      <c r="E12" s="11" t="s">
        <v>8</v>
      </c>
      <c r="F12" s="10" t="s">
        <v>9</v>
      </c>
      <c r="G12" s="10"/>
      <c r="H12" s="10" t="s">
        <v>10</v>
      </c>
      <c r="I12" s="10" t="s">
        <v>82</v>
      </c>
      <c r="J12" s="10" t="s">
        <v>11</v>
      </c>
      <c r="K12" s="10" t="s">
        <v>83</v>
      </c>
    </row>
    <row r="13" spans="1:11" s="12" customFormat="1" ht="12">
      <c r="A13" s="13" t="s">
        <v>12</v>
      </c>
      <c r="B13" s="8" t="s">
        <v>13</v>
      </c>
      <c r="C13" s="8" t="s">
        <v>14</v>
      </c>
      <c r="D13" s="8" t="s">
        <v>15</v>
      </c>
      <c r="E13" s="14" t="s">
        <v>16</v>
      </c>
      <c r="F13" s="8" t="s">
        <v>17</v>
      </c>
      <c r="G13" s="15"/>
      <c r="H13" s="8" t="s">
        <v>18</v>
      </c>
      <c r="I13" s="8" t="s">
        <v>19</v>
      </c>
      <c r="J13" s="8" t="s">
        <v>20</v>
      </c>
      <c r="K13" s="8" t="s">
        <v>84</v>
      </c>
    </row>
    <row r="15" spans="1:11" ht="12.75">
      <c r="A15" s="3">
        <v>37712</v>
      </c>
      <c r="B15" s="16">
        <v>0</v>
      </c>
      <c r="C15" s="16">
        <v>0</v>
      </c>
      <c r="D15" s="16">
        <v>0</v>
      </c>
      <c r="E15" s="17">
        <v>0</v>
      </c>
      <c r="F15" s="16">
        <v>0</v>
      </c>
      <c r="H15" s="18">
        <v>0</v>
      </c>
      <c r="I15" s="16">
        <v>0</v>
      </c>
      <c r="J15" s="16">
        <v>0</v>
      </c>
      <c r="K15" s="16">
        <v>0</v>
      </c>
    </row>
    <row r="16" spans="1:11" ht="12.75">
      <c r="A16" s="3">
        <v>37742</v>
      </c>
      <c r="B16" s="16">
        <v>0</v>
      </c>
      <c r="C16" s="16">
        <v>0</v>
      </c>
      <c r="D16" s="16">
        <v>0</v>
      </c>
      <c r="E16" s="17">
        <v>0</v>
      </c>
      <c r="F16" s="16">
        <v>0</v>
      </c>
      <c r="H16" s="18">
        <v>0</v>
      </c>
      <c r="I16" s="16">
        <v>0</v>
      </c>
      <c r="J16" s="16">
        <v>0</v>
      </c>
      <c r="K16" s="16">
        <v>0</v>
      </c>
    </row>
    <row r="17" spans="1:11" ht="12.75">
      <c r="A17" s="3">
        <v>37773</v>
      </c>
      <c r="B17" s="16">
        <v>0</v>
      </c>
      <c r="C17" s="16">
        <v>0</v>
      </c>
      <c r="D17" s="16">
        <v>0</v>
      </c>
      <c r="E17" s="17">
        <v>0</v>
      </c>
      <c r="F17" s="16">
        <v>0</v>
      </c>
      <c r="H17" s="18">
        <v>0</v>
      </c>
      <c r="I17" s="16">
        <v>0</v>
      </c>
      <c r="J17" s="16">
        <v>0</v>
      </c>
      <c r="K17" s="16">
        <v>0</v>
      </c>
    </row>
    <row r="18" spans="1:11" ht="12.75">
      <c r="A18" s="3">
        <v>37803</v>
      </c>
      <c r="B18" s="16">
        <v>0</v>
      </c>
      <c r="C18" s="16">
        <v>0</v>
      </c>
      <c r="D18" s="16">
        <v>0</v>
      </c>
      <c r="E18" s="17">
        <v>0</v>
      </c>
      <c r="F18" s="16">
        <v>0</v>
      </c>
      <c r="H18" s="18">
        <v>0</v>
      </c>
      <c r="I18" s="16">
        <v>0</v>
      </c>
      <c r="J18" s="16">
        <v>0</v>
      </c>
      <c r="K18" s="16">
        <v>0</v>
      </c>
    </row>
    <row r="19" spans="1:11" ht="12.75">
      <c r="A19" s="3">
        <v>37834</v>
      </c>
      <c r="B19" s="16">
        <v>0</v>
      </c>
      <c r="C19" s="16">
        <v>0</v>
      </c>
      <c r="D19" s="16">
        <v>0</v>
      </c>
      <c r="E19" s="17">
        <v>0</v>
      </c>
      <c r="F19" s="16">
        <v>0</v>
      </c>
      <c r="H19" s="18">
        <v>0</v>
      </c>
      <c r="I19" s="16">
        <v>0</v>
      </c>
      <c r="J19" s="16">
        <v>0</v>
      </c>
      <c r="K19" s="16">
        <v>0</v>
      </c>
    </row>
    <row r="20" spans="1:11" ht="12.75">
      <c r="A20" s="3">
        <v>37865</v>
      </c>
      <c r="B20" s="16">
        <v>0</v>
      </c>
      <c r="C20" s="16">
        <v>0</v>
      </c>
      <c r="D20" s="16">
        <v>0</v>
      </c>
      <c r="E20" s="17">
        <v>0</v>
      </c>
      <c r="F20" s="16">
        <v>0</v>
      </c>
      <c r="H20" s="18">
        <v>0</v>
      </c>
      <c r="I20" s="16">
        <v>0</v>
      </c>
      <c r="J20" s="16">
        <v>0</v>
      </c>
      <c r="K20" s="16">
        <v>0</v>
      </c>
    </row>
    <row r="21" spans="1:11" ht="12.75">
      <c r="A21" s="3">
        <v>37895</v>
      </c>
      <c r="B21" s="16">
        <v>0</v>
      </c>
      <c r="C21" s="16">
        <v>0</v>
      </c>
      <c r="D21" s="16">
        <v>0</v>
      </c>
      <c r="E21" s="17">
        <v>0</v>
      </c>
      <c r="F21" s="16">
        <v>0</v>
      </c>
      <c r="H21" s="18">
        <v>0</v>
      </c>
      <c r="I21" s="16">
        <v>0</v>
      </c>
      <c r="J21" s="16">
        <v>0</v>
      </c>
      <c r="K21" s="16">
        <v>0</v>
      </c>
    </row>
    <row r="22" spans="1:11" ht="12.75">
      <c r="A22" s="3">
        <v>37926</v>
      </c>
      <c r="B22" s="16">
        <v>0</v>
      </c>
      <c r="C22" s="16">
        <v>0</v>
      </c>
      <c r="D22" s="16">
        <v>0</v>
      </c>
      <c r="E22" s="17">
        <v>0</v>
      </c>
      <c r="F22" s="16">
        <v>0</v>
      </c>
      <c r="H22" s="18">
        <v>0</v>
      </c>
      <c r="I22" s="16">
        <v>0</v>
      </c>
      <c r="J22" s="16">
        <v>0</v>
      </c>
      <c r="K22" s="16">
        <v>0</v>
      </c>
    </row>
    <row r="23" spans="1:11" ht="12.75">
      <c r="A23" s="3">
        <v>37956</v>
      </c>
      <c r="B23" s="16">
        <v>0</v>
      </c>
      <c r="C23" s="16">
        <v>0</v>
      </c>
      <c r="D23" s="16">
        <v>0</v>
      </c>
      <c r="E23" s="17">
        <v>0</v>
      </c>
      <c r="F23" s="16">
        <v>0</v>
      </c>
      <c r="H23" s="18">
        <v>0</v>
      </c>
      <c r="I23" s="16">
        <v>0</v>
      </c>
      <c r="J23" s="16">
        <v>0</v>
      </c>
      <c r="K23" s="16">
        <v>0</v>
      </c>
    </row>
    <row r="24" spans="1:11" ht="12.75">
      <c r="A24" s="3">
        <v>37987</v>
      </c>
      <c r="B24" s="16">
        <v>0</v>
      </c>
      <c r="C24" s="16">
        <v>0</v>
      </c>
      <c r="D24" s="16">
        <v>0</v>
      </c>
      <c r="E24" s="17">
        <v>0</v>
      </c>
      <c r="F24" s="16">
        <v>0</v>
      </c>
      <c r="H24" s="18">
        <v>0</v>
      </c>
      <c r="I24" s="16">
        <v>0</v>
      </c>
      <c r="J24" s="16">
        <v>0</v>
      </c>
      <c r="K24" s="16">
        <v>0</v>
      </c>
    </row>
    <row r="25" spans="1:11" ht="12.75">
      <c r="A25" s="3">
        <v>38018</v>
      </c>
      <c r="B25" s="16">
        <v>0</v>
      </c>
      <c r="C25" s="16">
        <v>0</v>
      </c>
      <c r="D25" s="16">
        <v>0</v>
      </c>
      <c r="E25" s="17">
        <v>0</v>
      </c>
      <c r="F25" s="16">
        <v>0</v>
      </c>
      <c r="H25" s="18">
        <v>0</v>
      </c>
      <c r="I25" s="16">
        <v>0</v>
      </c>
      <c r="J25" s="16">
        <v>0</v>
      </c>
      <c r="K25" s="16">
        <v>0</v>
      </c>
    </row>
    <row r="26" spans="1:11" ht="12.75">
      <c r="A26" s="3">
        <v>38047</v>
      </c>
      <c r="B26" s="16">
        <v>25050604.75</v>
      </c>
      <c r="C26" s="16">
        <f>B26-D26</f>
        <v>23039915.96</v>
      </c>
      <c r="D26" s="16">
        <v>2010688.79</v>
      </c>
      <c r="E26" s="17">
        <v>990</v>
      </c>
      <c r="F26" s="16">
        <v>135.39991851851855</v>
      </c>
      <c r="H26" s="16">
        <v>1226520.1619000002</v>
      </c>
      <c r="I26" s="16">
        <f>D26*0.29</f>
        <v>583099.7491</v>
      </c>
      <c r="J26" s="16">
        <v>0</v>
      </c>
      <c r="K26" s="16">
        <f>D26*0.1</f>
        <v>201068.87900000002</v>
      </c>
    </row>
    <row r="27" spans="1:11" ht="13.5" thickBot="1">
      <c r="A27" s="3" t="s">
        <v>21</v>
      </c>
      <c r="B27" s="19">
        <f>SUM(B15:B26)</f>
        <v>25050604.75</v>
      </c>
      <c r="C27" s="19">
        <f>SUM(C15:C26)</f>
        <v>23039915.96</v>
      </c>
      <c r="D27" s="19">
        <f>SUM(D15:D26)</f>
        <v>2010688.79</v>
      </c>
      <c r="H27" s="19">
        <f>SUM(H15:H26)</f>
        <v>1226520.1619000002</v>
      </c>
      <c r="I27" s="19">
        <f>SUM(I15:I26)</f>
        <v>583099.7491</v>
      </c>
      <c r="J27" s="19">
        <f>SUM(J15:J26)</f>
        <v>0</v>
      </c>
      <c r="K27" s="19">
        <f>SUM(K15:K26)</f>
        <v>201068.87900000002</v>
      </c>
    </row>
    <row r="28" spans="2:11" ht="10.5" customHeight="1" thickTop="1">
      <c r="B28" s="20"/>
      <c r="C28" s="20"/>
      <c r="D28" s="20"/>
      <c r="H28" s="20"/>
      <c r="I28" s="20"/>
      <c r="J28" s="20"/>
      <c r="K28" s="20"/>
    </row>
    <row r="29" spans="1:11" s="23" customFormat="1" ht="12.75">
      <c r="A29" s="21"/>
      <c r="B29" s="22"/>
      <c r="C29" s="22">
        <f>C27/B27</f>
        <v>0.9197349201719373</v>
      </c>
      <c r="D29" s="22">
        <f>D27/B27</f>
        <v>0.08026507982806283</v>
      </c>
      <c r="H29" s="22">
        <f>H27/$D$27</f>
        <v>0.6100000000000001</v>
      </c>
      <c r="I29" s="22">
        <f>I27/$D$27</f>
        <v>0.29</v>
      </c>
      <c r="J29" s="22">
        <f>J27/$D$27</f>
        <v>0</v>
      </c>
      <c r="K29" s="22">
        <f>K27/$D$27</f>
        <v>0.1</v>
      </c>
    </row>
    <row r="31" spans="1:11" s="24" customFormat="1" ht="12.75">
      <c r="A31" s="144" t="s">
        <v>22</v>
      </c>
      <c r="B31" s="145"/>
      <c r="C31" s="145"/>
      <c r="D31" s="145"/>
      <c r="E31" s="145"/>
      <c r="F31" s="145"/>
      <c r="G31" s="145"/>
      <c r="H31" s="145"/>
      <c r="I31" s="145"/>
      <c r="J31" s="145"/>
      <c r="K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1" ht="6" customHeight="1">
      <c r="A35" s="26"/>
      <c r="B35" s="27"/>
      <c r="C35" s="27"/>
      <c r="E35" s="27"/>
      <c r="F35" s="27"/>
      <c r="G35" s="27"/>
      <c r="H35" s="27"/>
      <c r="I35" s="27"/>
      <c r="J35" s="27"/>
      <c r="K35" s="27"/>
    </row>
    <row r="36" spans="1:11" ht="12.75">
      <c r="A36" s="26" t="s">
        <v>24</v>
      </c>
      <c r="B36" s="27"/>
      <c r="C36" s="27" t="s">
        <v>25</v>
      </c>
      <c r="E36" s="27"/>
      <c r="F36" s="27"/>
      <c r="G36" s="27"/>
      <c r="H36" s="27"/>
      <c r="I36" s="27"/>
      <c r="J36" s="27"/>
      <c r="K36" s="27"/>
    </row>
    <row r="37" spans="1:11" ht="6" customHeight="1">
      <c r="A37" s="26"/>
      <c r="B37" s="27"/>
      <c r="C37" s="27"/>
      <c r="E37" s="27"/>
      <c r="F37" s="27"/>
      <c r="G37" s="27"/>
      <c r="H37" s="27"/>
      <c r="I37" s="27"/>
      <c r="J37" s="27"/>
      <c r="K37" s="27"/>
    </row>
    <row r="38" spans="1:11" ht="12.75">
      <c r="A38" s="26" t="s">
        <v>26</v>
      </c>
      <c r="B38" s="27"/>
      <c r="C38" s="27" t="s">
        <v>27</v>
      </c>
      <c r="E38" s="28"/>
      <c r="F38" s="27"/>
      <c r="G38" s="27"/>
      <c r="H38" s="27"/>
      <c r="I38" s="27"/>
      <c r="J38" s="27"/>
      <c r="K38" s="27"/>
    </row>
    <row r="39" spans="1:11" ht="12.75">
      <c r="A39" s="26"/>
      <c r="B39" s="27"/>
      <c r="C39" s="27" t="s">
        <v>28</v>
      </c>
      <c r="E39" s="28"/>
      <c r="F39" s="27"/>
      <c r="G39" s="27"/>
      <c r="H39" s="27"/>
      <c r="I39" s="27"/>
      <c r="J39" s="27"/>
      <c r="K39" s="27"/>
    </row>
    <row r="40" spans="1:11" ht="6" customHeight="1">
      <c r="A40" s="26"/>
      <c r="B40" s="27"/>
      <c r="C40" s="27"/>
      <c r="E40" s="28"/>
      <c r="F40" s="27"/>
      <c r="G40" s="27"/>
      <c r="H40" s="27"/>
      <c r="I40" s="27"/>
      <c r="J40" s="27"/>
      <c r="K40" s="27"/>
    </row>
    <row r="41" spans="1:11" ht="12.75">
      <c r="A41" s="26" t="s">
        <v>29</v>
      </c>
      <c r="B41" s="27"/>
      <c r="C41" s="27" t="s">
        <v>30</v>
      </c>
      <c r="E41" s="28"/>
      <c r="F41" s="27"/>
      <c r="G41" s="27"/>
      <c r="H41" s="27"/>
      <c r="I41" s="27"/>
      <c r="J41" s="27"/>
      <c r="K41" s="27"/>
    </row>
    <row r="42" spans="1:11" ht="6" customHeight="1">
      <c r="A42" s="26"/>
      <c r="B42" s="27"/>
      <c r="C42" s="27"/>
      <c r="E42" s="28"/>
      <c r="F42" s="27"/>
      <c r="G42" s="27"/>
      <c r="H42" s="27"/>
      <c r="I42" s="27"/>
      <c r="J42" s="27"/>
      <c r="K42" s="27"/>
    </row>
    <row r="43" spans="1:12" s="47" customFormat="1" ht="12.75">
      <c r="A43" s="26" t="s">
        <v>76</v>
      </c>
      <c r="B43" s="44"/>
      <c r="C43" s="44" t="s">
        <v>77</v>
      </c>
      <c r="D43" s="45"/>
      <c r="E43" s="46"/>
      <c r="F43" s="44"/>
      <c r="G43" s="44"/>
      <c r="H43" s="44"/>
      <c r="I43" s="44"/>
      <c r="J43" s="44"/>
      <c r="K43" s="44"/>
      <c r="L43" s="44"/>
    </row>
    <row r="44" spans="1:12" s="47" customFormat="1" ht="12.75">
      <c r="A44" s="26"/>
      <c r="B44" s="44"/>
      <c r="C44" s="44" t="s">
        <v>85</v>
      </c>
      <c r="D44" s="45"/>
      <c r="E44" s="46"/>
      <c r="F44" s="44"/>
      <c r="G44" s="44"/>
      <c r="H44" s="44"/>
      <c r="I44" s="44"/>
      <c r="J44" s="44"/>
      <c r="K44" s="44"/>
      <c r="L44" s="44"/>
    </row>
    <row r="45" spans="1:12" s="47" customFormat="1" ht="12.75">
      <c r="A45" s="26"/>
      <c r="B45" s="44"/>
      <c r="C45" s="44" t="s">
        <v>86</v>
      </c>
      <c r="D45" s="45"/>
      <c r="E45" s="46"/>
      <c r="F45" s="44"/>
      <c r="G45" s="44"/>
      <c r="H45" s="44"/>
      <c r="I45" s="44"/>
      <c r="J45" s="44"/>
      <c r="K45" s="44"/>
      <c r="L45" s="44"/>
    </row>
    <row r="46" spans="1:11" ht="6" customHeight="1">
      <c r="A46" s="26"/>
      <c r="B46" s="27"/>
      <c r="C46" s="27"/>
      <c r="E46" s="28"/>
      <c r="F46" s="27"/>
      <c r="G46" s="27"/>
      <c r="H46" s="27"/>
      <c r="I46" s="27"/>
      <c r="J46" s="27"/>
      <c r="K46" s="27"/>
    </row>
    <row r="47" spans="1:12" s="47" customFormat="1" ht="12.75">
      <c r="A47" s="26" t="s">
        <v>31</v>
      </c>
      <c r="B47" s="44"/>
      <c r="C47" s="44" t="s">
        <v>78</v>
      </c>
      <c r="D47" s="45"/>
      <c r="E47" s="46"/>
      <c r="F47" s="44"/>
      <c r="G47" s="44"/>
      <c r="H47" s="44"/>
      <c r="I47" s="44"/>
      <c r="J47" s="44"/>
      <c r="K47" s="44"/>
      <c r="L47" s="44"/>
    </row>
    <row r="48" spans="1:12" s="47" customFormat="1" ht="12.75">
      <c r="A48" s="26"/>
      <c r="B48" s="44"/>
      <c r="C48" s="44" t="s">
        <v>79</v>
      </c>
      <c r="D48" s="45"/>
      <c r="E48" s="46"/>
      <c r="F48" s="44"/>
      <c r="G48" s="44"/>
      <c r="H48" s="44"/>
      <c r="I48" s="44"/>
      <c r="J48" s="44"/>
      <c r="K48" s="44"/>
      <c r="L48" s="44"/>
    </row>
    <row r="49" spans="1:11" ht="6" customHeight="1">
      <c r="A49" s="26"/>
      <c r="B49" s="27"/>
      <c r="C49" s="27"/>
      <c r="E49" s="28"/>
      <c r="F49" s="27"/>
      <c r="G49" s="27"/>
      <c r="H49" s="27"/>
      <c r="I49" s="27"/>
      <c r="J49" s="27"/>
      <c r="K49" s="27"/>
    </row>
    <row r="50" spans="1:12" s="47" customFormat="1" ht="12.75">
      <c r="A50" s="26" t="s">
        <v>88</v>
      </c>
      <c r="B50" s="44"/>
      <c r="C50" s="44" t="s">
        <v>80</v>
      </c>
      <c r="D50" s="45"/>
      <c r="E50" s="46"/>
      <c r="F50" s="44"/>
      <c r="G50" s="44"/>
      <c r="H50" s="44"/>
      <c r="I50" s="44"/>
      <c r="J50" s="44"/>
      <c r="K50" s="44"/>
      <c r="L50" s="44"/>
    </row>
    <row r="51" spans="1:12" s="47" customFormat="1" ht="12.75">
      <c r="A51" s="29"/>
      <c r="B51" s="44"/>
      <c r="C51" s="44" t="s">
        <v>81</v>
      </c>
      <c r="D51" s="45"/>
      <c r="E51" s="46"/>
      <c r="F51" s="44"/>
      <c r="G51" s="44"/>
      <c r="H51" s="44"/>
      <c r="I51" s="44"/>
      <c r="J51" s="44"/>
      <c r="K51" s="44"/>
      <c r="L51" s="44"/>
    </row>
    <row r="52" spans="1:11" ht="12.75">
      <c r="A52" s="30"/>
      <c r="B52" s="31"/>
      <c r="C52" s="31"/>
      <c r="D52" s="31"/>
      <c r="E52" s="32"/>
      <c r="F52" s="31"/>
      <c r="G52" s="31"/>
      <c r="H52" s="31"/>
      <c r="I52" s="31"/>
      <c r="J52" s="31"/>
      <c r="K52" s="31"/>
    </row>
    <row r="53" spans="1:11" s="24" customFormat="1" ht="12.75">
      <c r="A53" s="144" t="s">
        <v>32</v>
      </c>
      <c r="B53" s="145"/>
      <c r="C53" s="145"/>
      <c r="D53" s="145"/>
      <c r="E53" s="145"/>
      <c r="F53" s="145"/>
      <c r="G53" s="145"/>
      <c r="H53" s="145"/>
      <c r="I53" s="145"/>
      <c r="J53" s="145"/>
      <c r="K53" s="146"/>
    </row>
    <row r="54" ht="12.75">
      <c r="A54" s="25"/>
    </row>
    <row r="55" spans="1:11" ht="13.5">
      <c r="A55" s="33"/>
      <c r="F55" s="10" t="s">
        <v>10</v>
      </c>
      <c r="G55" s="34"/>
      <c r="H55" s="10" t="s">
        <v>82</v>
      </c>
      <c r="I55" s="10" t="s">
        <v>11</v>
      </c>
      <c r="J55" s="10" t="s">
        <v>83</v>
      </c>
      <c r="K55" s="35"/>
    </row>
    <row r="56" spans="1:11" ht="12.75">
      <c r="A56" s="36"/>
      <c r="F56" s="8" t="s">
        <v>18</v>
      </c>
      <c r="G56" s="37"/>
      <c r="H56" s="8" t="s">
        <v>19</v>
      </c>
      <c r="I56" s="8" t="s">
        <v>20</v>
      </c>
      <c r="J56" s="8" t="s">
        <v>84</v>
      </c>
      <c r="K56" s="35"/>
    </row>
    <row r="57" spans="2:11" ht="12.75">
      <c r="B57" s="27" t="s">
        <v>33</v>
      </c>
      <c r="F57" s="15"/>
      <c r="G57" s="38"/>
      <c r="H57" s="15"/>
      <c r="I57" s="15"/>
      <c r="J57" s="15"/>
      <c r="K57" s="39"/>
    </row>
    <row r="58" spans="2:11" ht="12.75">
      <c r="B58" s="40" t="s">
        <v>34</v>
      </c>
      <c r="C58" s="40"/>
      <c r="D58" s="27"/>
      <c r="E58" s="28"/>
      <c r="F58" s="41">
        <v>0.61</v>
      </c>
      <c r="G58" s="27"/>
      <c r="H58" s="41">
        <v>0.29</v>
      </c>
      <c r="I58" s="41">
        <v>0</v>
      </c>
      <c r="J58" s="41">
        <v>0.1</v>
      </c>
      <c r="K58" s="39"/>
    </row>
    <row r="61" ht="12.75">
      <c r="A61" s="25" t="s">
        <v>35</v>
      </c>
    </row>
  </sheetData>
  <sheetProtection/>
  <mergeCells count="9">
    <mergeCell ref="A31:K31"/>
    <mergeCell ref="A53:K53"/>
    <mergeCell ref="H10:K10"/>
    <mergeCell ref="A8:K8"/>
    <mergeCell ref="A5:K5"/>
    <mergeCell ref="A1:K1"/>
    <mergeCell ref="A2:K2"/>
    <mergeCell ref="A3:K3"/>
    <mergeCell ref="A4:K4"/>
  </mergeCells>
  <printOptions horizontalCentered="1"/>
  <pageMargins left="0.25" right="0.25" top="0.75" bottom="0.5" header="0.5" footer="0.5"/>
  <pageSetup fitToHeight="1" fitToWidth="1"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70"/>
  <sheetViews>
    <sheetView zoomScale="90" zoomScaleNormal="90" zoomScalePageLayoutView="0" workbookViewId="0" topLeftCell="A1">
      <selection activeCell="B29" sqref="B29"/>
    </sheetView>
  </sheetViews>
  <sheetFormatPr defaultColWidth="9.140625" defaultRowHeight="12.75"/>
  <cols>
    <col min="1" max="1" width="9.28125" style="72" customWidth="1"/>
    <col min="2" max="2" width="14.140625" style="70" customWidth="1"/>
    <col min="3" max="3" width="13.421875" style="70" customWidth="1"/>
    <col min="4" max="4" width="14.140625" style="70" customWidth="1"/>
    <col min="5" max="5" width="12.7109375" style="70" customWidth="1"/>
    <col min="6" max="6" width="9.7109375" style="71" customWidth="1"/>
    <col min="7" max="7" width="10.28125" style="70" customWidth="1"/>
    <col min="8" max="8" width="2.28125" style="70" customWidth="1"/>
    <col min="9" max="10" width="13.00390625" style="70" customWidth="1"/>
    <col min="11" max="11" width="13.7109375" style="70" customWidth="1"/>
    <col min="12" max="12" width="12.7109375" style="69" customWidth="1"/>
    <col min="13" max="16384" width="9.140625" style="69" customWidth="1"/>
  </cols>
  <sheetData>
    <row r="1" spans="1:11" ht="18">
      <c r="A1" s="136" t="s">
        <v>102</v>
      </c>
      <c r="B1" s="136"/>
      <c r="C1" s="136"/>
      <c r="D1" s="136"/>
      <c r="E1" s="136"/>
      <c r="F1" s="136"/>
      <c r="G1" s="136"/>
      <c r="H1" s="136"/>
      <c r="I1" s="136"/>
      <c r="J1" s="136"/>
      <c r="K1" s="136"/>
    </row>
    <row r="2" spans="1:11" ht="15">
      <c r="A2" s="137" t="s">
        <v>1</v>
      </c>
      <c r="B2" s="137"/>
      <c r="C2" s="137"/>
      <c r="D2" s="137"/>
      <c r="E2" s="137"/>
      <c r="F2" s="137"/>
      <c r="G2" s="137"/>
      <c r="H2" s="137"/>
      <c r="I2" s="137"/>
      <c r="J2" s="137"/>
      <c r="K2" s="137"/>
    </row>
    <row r="3" spans="1:11" s="119" customFormat="1" ht="15">
      <c r="A3" s="137" t="s">
        <v>2</v>
      </c>
      <c r="B3" s="137"/>
      <c r="C3" s="137"/>
      <c r="D3" s="137"/>
      <c r="E3" s="137"/>
      <c r="F3" s="137"/>
      <c r="G3" s="137"/>
      <c r="H3" s="137"/>
      <c r="I3" s="137"/>
      <c r="J3" s="137"/>
      <c r="K3" s="137"/>
    </row>
    <row r="4" spans="1:11" s="119" customFormat="1" ht="12.75">
      <c r="A4" s="138" t="s">
        <v>3</v>
      </c>
      <c r="B4" s="139"/>
      <c r="C4" s="139"/>
      <c r="D4" s="139"/>
      <c r="E4" s="139"/>
      <c r="F4" s="139"/>
      <c r="G4" s="139"/>
      <c r="H4" s="139"/>
      <c r="I4" s="139"/>
      <c r="J4" s="139"/>
      <c r="K4" s="139"/>
    </row>
    <row r="5" spans="1:11" s="119" customFormat="1" ht="14.25">
      <c r="A5" s="140" t="s">
        <v>4</v>
      </c>
      <c r="B5" s="140"/>
      <c r="C5" s="140"/>
      <c r="D5" s="140"/>
      <c r="E5" s="140"/>
      <c r="F5" s="140"/>
      <c r="G5" s="140"/>
      <c r="H5" s="140"/>
      <c r="I5" s="140"/>
      <c r="J5" s="140"/>
      <c r="K5" s="140"/>
    </row>
    <row r="6" spans="1:11" s="119" customFormat="1" ht="14.25">
      <c r="A6" s="125"/>
      <c r="B6" s="125"/>
      <c r="C6" s="125"/>
      <c r="D6" s="125"/>
      <c r="E6" s="125"/>
      <c r="F6" s="125"/>
      <c r="G6" s="125"/>
      <c r="H6" s="125"/>
      <c r="I6" s="125"/>
      <c r="J6" s="125"/>
      <c r="K6" s="125"/>
    </row>
    <row r="7" spans="1:11" s="119" customFormat="1" ht="12.75">
      <c r="A7" s="72"/>
      <c r="B7" s="123"/>
      <c r="C7" s="123"/>
      <c r="D7" s="123"/>
      <c r="E7" s="120"/>
      <c r="F7" s="121"/>
      <c r="G7" s="120"/>
      <c r="H7" s="120"/>
      <c r="I7" s="120"/>
      <c r="J7" s="120"/>
      <c r="K7" s="120"/>
    </row>
    <row r="8" spans="1:11" s="124" customFormat="1" ht="14.25" customHeight="1">
      <c r="A8" s="131" t="s">
        <v>126</v>
      </c>
      <c r="B8" s="132"/>
      <c r="C8" s="132"/>
      <c r="D8" s="132"/>
      <c r="E8" s="132"/>
      <c r="F8" s="132"/>
      <c r="G8" s="132"/>
      <c r="H8" s="132"/>
      <c r="I8" s="132"/>
      <c r="J8" s="132"/>
      <c r="K8" s="132"/>
    </row>
    <row r="9" spans="1:11" s="119" customFormat="1" ht="9" customHeight="1">
      <c r="A9" s="72"/>
      <c r="B9" s="123"/>
      <c r="C9" s="123"/>
      <c r="D9" s="123"/>
      <c r="E9" s="120"/>
      <c r="F9" s="121"/>
      <c r="G9" s="120"/>
      <c r="H9" s="120"/>
      <c r="I9" s="120"/>
      <c r="J9" s="120"/>
      <c r="K9" s="120"/>
    </row>
    <row r="10" spans="1:11" s="119" customFormat="1" ht="12.75">
      <c r="A10" s="72"/>
      <c r="B10" s="120"/>
      <c r="C10" s="120"/>
      <c r="D10" s="120"/>
      <c r="E10" s="120"/>
      <c r="F10" s="121"/>
      <c r="G10" s="120"/>
      <c r="H10" s="120"/>
      <c r="I10" s="130" t="s">
        <v>6</v>
      </c>
      <c r="J10" s="130"/>
      <c r="K10" s="130"/>
    </row>
    <row r="11" spans="1:11" s="119" customFormat="1" ht="12.75">
      <c r="A11" s="72"/>
      <c r="B11" s="120"/>
      <c r="C11" s="120"/>
      <c r="D11" s="122"/>
      <c r="E11" s="120"/>
      <c r="F11" s="121"/>
      <c r="G11" s="120"/>
      <c r="H11" s="120"/>
      <c r="I11" s="120"/>
      <c r="J11" s="120"/>
      <c r="K11" s="120"/>
    </row>
    <row r="12" spans="1:11" s="113" customFormat="1" ht="12">
      <c r="A12" s="118"/>
      <c r="B12" s="89" t="s">
        <v>7</v>
      </c>
      <c r="C12" s="89" t="s">
        <v>75</v>
      </c>
      <c r="D12" s="89" t="s">
        <v>7</v>
      </c>
      <c r="E12" s="89"/>
      <c r="F12" s="117" t="s">
        <v>8</v>
      </c>
      <c r="G12" s="89" t="s">
        <v>9</v>
      </c>
      <c r="H12" s="89"/>
      <c r="I12" s="89" t="s">
        <v>10</v>
      </c>
      <c r="J12" s="89" t="s">
        <v>83</v>
      </c>
      <c r="K12" s="89" t="s">
        <v>82</v>
      </c>
    </row>
    <row r="13" spans="1:11" s="113" customFormat="1" ht="12">
      <c r="A13" s="116" t="s">
        <v>12</v>
      </c>
      <c r="B13" s="85" t="s">
        <v>13</v>
      </c>
      <c r="C13" s="85" t="s">
        <v>20</v>
      </c>
      <c r="D13" s="85" t="s">
        <v>14</v>
      </c>
      <c r="E13" s="85" t="s">
        <v>15</v>
      </c>
      <c r="F13" s="115" t="s">
        <v>16</v>
      </c>
      <c r="G13" s="85" t="s">
        <v>17</v>
      </c>
      <c r="H13" s="114"/>
      <c r="I13" s="85" t="s">
        <v>18</v>
      </c>
      <c r="J13" s="85" t="s">
        <v>84</v>
      </c>
      <c r="K13" s="85" t="s">
        <v>19</v>
      </c>
    </row>
    <row r="14" ht="12.75">
      <c r="D14" s="96"/>
    </row>
    <row r="15" spans="1:11" ht="12.75">
      <c r="A15" s="72">
        <v>44287</v>
      </c>
      <c r="B15" s="70">
        <v>68849376.11</v>
      </c>
      <c r="C15" s="70">
        <v>572732</v>
      </c>
      <c r="D15" s="70">
        <f aca="true" t="shared" si="0" ref="D15:D26">IF(ISBLANK(B15),"",B15-C15-E15)</f>
        <v>63201632.81</v>
      </c>
      <c r="E15" s="70">
        <v>5075011.3</v>
      </c>
      <c r="F15" s="71">
        <v>495</v>
      </c>
      <c r="G15" s="70">
        <f>_xlfn.IFERROR((E15/F15/30)," ")</f>
        <v>341.7516026936027</v>
      </c>
      <c r="I15" s="70">
        <v>1725503.83</v>
      </c>
      <c r="J15" s="70">
        <v>507501.16</v>
      </c>
      <c r="K15" s="70">
        <v>2842006.3</v>
      </c>
    </row>
    <row r="16" spans="1:11" ht="12.75">
      <c r="A16" s="72">
        <v>44317</v>
      </c>
      <c r="B16" s="70">
        <v>69824150.25</v>
      </c>
      <c r="C16" s="70">
        <v>626301.9299999999</v>
      </c>
      <c r="D16" s="70">
        <f t="shared" si="0"/>
        <v>64219616.699999996</v>
      </c>
      <c r="E16" s="70">
        <v>4978231.619999999</v>
      </c>
      <c r="F16" s="71">
        <v>499</v>
      </c>
      <c r="G16" s="70">
        <f>_xlfn.IFERROR((E16/F16/31)," ")</f>
        <v>321.819873294977</v>
      </c>
      <c r="I16" s="70">
        <v>1692598.7699999998</v>
      </c>
      <c r="J16" s="70">
        <v>497823.1399999999</v>
      </c>
      <c r="K16" s="70">
        <v>2787809.6999999997</v>
      </c>
    </row>
    <row r="17" spans="1:11" ht="12.75">
      <c r="A17" s="72">
        <v>44348</v>
      </c>
      <c r="B17" s="70">
        <v>68387114.53999998</v>
      </c>
      <c r="C17" s="70">
        <v>684436.3299999998</v>
      </c>
      <c r="D17" s="70">
        <f>IF(ISBLANK(B17),"",B17-C17-E17)</f>
        <v>62821543.049999975</v>
      </c>
      <c r="E17" s="70">
        <v>4881135.160000002</v>
      </c>
      <c r="F17" s="71">
        <v>688</v>
      </c>
      <c r="G17" s="70">
        <f>_xlfn.IFERROR((E17/F17/30)," ")</f>
        <v>236.48910658914738</v>
      </c>
      <c r="I17" s="70">
        <v>1659585.9500000002</v>
      </c>
      <c r="J17" s="70">
        <v>488113.54</v>
      </c>
      <c r="K17" s="70">
        <v>2733435.6599999997</v>
      </c>
    </row>
    <row r="18" spans="1:11" ht="12.75">
      <c r="A18" s="72">
        <v>44378</v>
      </c>
      <c r="B18" s="70">
        <v>82424544.23000002</v>
      </c>
      <c r="C18" s="70">
        <v>715876.32</v>
      </c>
      <c r="D18" s="70">
        <f>IF(ISBLANK(B18),"",B18-C18-E18)</f>
        <v>75890550.47000003</v>
      </c>
      <c r="E18" s="70">
        <v>5818117.440000001</v>
      </c>
      <c r="F18" s="71">
        <v>929</v>
      </c>
      <c r="G18" s="70">
        <f>_xlfn.IFERROR((E18/F18/31)," ")</f>
        <v>202.02498142296614</v>
      </c>
      <c r="I18" s="70">
        <v>1978159.95</v>
      </c>
      <c r="J18" s="70">
        <v>581811.74</v>
      </c>
      <c r="K18" s="70">
        <v>3258145.730000001</v>
      </c>
    </row>
    <row r="19" spans="1:11" ht="12.75">
      <c r="A19" s="72">
        <v>44409</v>
      </c>
      <c r="B19" s="70">
        <v>66061071.18000001</v>
      </c>
      <c r="C19" s="70">
        <v>602213.8300000001</v>
      </c>
      <c r="D19" s="70">
        <f>IF(ISBLANK(B19),"",B19-C19-E19)</f>
        <v>60566270.86000001</v>
      </c>
      <c r="E19" s="70">
        <v>4892586.49</v>
      </c>
      <c r="F19" s="71">
        <v>929</v>
      </c>
      <c r="G19" s="70">
        <f>_xlfn.IFERROR((E19/F19/31)," ")</f>
        <v>169.88737421438245</v>
      </c>
      <c r="I19" s="70">
        <v>1663479.4066000006</v>
      </c>
      <c r="J19" s="70">
        <v>489258.6490000001</v>
      </c>
      <c r="K19" s="70">
        <v>2739848.4300000006</v>
      </c>
    </row>
    <row r="20" spans="1:11" ht="12.75">
      <c r="A20" s="72">
        <v>44440</v>
      </c>
      <c r="B20" s="70">
        <v>77783859.48000002</v>
      </c>
      <c r="C20" s="70">
        <v>655538.9</v>
      </c>
      <c r="D20" s="70">
        <f t="shared" si="0"/>
        <v>71476701.32000001</v>
      </c>
      <c r="E20" s="70">
        <v>5651619.26</v>
      </c>
      <c r="F20" s="71">
        <v>929</v>
      </c>
      <c r="G20" s="70">
        <f>_xlfn.IFERROR((E20/F20/30)," ")</f>
        <v>202.7850470039469</v>
      </c>
      <c r="I20" s="70">
        <v>1921550.5484000004</v>
      </c>
      <c r="J20" s="70">
        <v>565161.9259999999</v>
      </c>
      <c r="K20" s="70">
        <v>3164906.790000001</v>
      </c>
    </row>
    <row r="21" spans="1:11" ht="12.75">
      <c r="A21" s="72">
        <v>44470</v>
      </c>
      <c r="B21" s="70">
        <v>76066239.17999999</v>
      </c>
      <c r="C21" s="70">
        <v>596450.71</v>
      </c>
      <c r="D21" s="70">
        <f t="shared" si="0"/>
        <v>69755207.05</v>
      </c>
      <c r="E21" s="70">
        <v>5714581.42</v>
      </c>
      <c r="F21" s="71">
        <v>929</v>
      </c>
      <c r="G21" s="70">
        <f>_xlfn.IFERROR((E21/F21/31)," ")</f>
        <v>198.42985589777422</v>
      </c>
      <c r="I21" s="70">
        <v>1942957.6900000002</v>
      </c>
      <c r="J21" s="70">
        <v>571458.1699999999</v>
      </c>
      <c r="K21" s="70">
        <v>3200165.610000001</v>
      </c>
    </row>
    <row r="22" spans="1:11" ht="12.75">
      <c r="A22" s="72">
        <v>44501</v>
      </c>
      <c r="B22" s="70">
        <v>72444553.99000001</v>
      </c>
      <c r="C22" s="70">
        <v>727639.03</v>
      </c>
      <c r="D22" s="70">
        <f t="shared" si="0"/>
        <v>66418678.20000001</v>
      </c>
      <c r="E22" s="70">
        <v>5298236.76</v>
      </c>
      <c r="F22" s="71">
        <v>929</v>
      </c>
      <c r="G22" s="70">
        <f>_xlfn.IFERROR((E22/F22/30)," ")</f>
        <v>190.10537351991388</v>
      </c>
      <c r="I22" s="70">
        <v>1801400.5</v>
      </c>
      <c r="J22" s="70">
        <v>529823.72</v>
      </c>
      <c r="K22" s="70">
        <v>2967012.5700000003</v>
      </c>
    </row>
    <row r="23" spans="1:11" ht="12.75">
      <c r="A23" s="72">
        <v>44531</v>
      </c>
      <c r="B23" s="70">
        <v>70665994.56</v>
      </c>
      <c r="C23" s="70">
        <v>653810.84</v>
      </c>
      <c r="D23" s="70">
        <f t="shared" si="0"/>
        <v>64853704.94</v>
      </c>
      <c r="E23" s="70">
        <v>5158478.78</v>
      </c>
      <c r="F23" s="71">
        <v>929</v>
      </c>
      <c r="G23" s="70">
        <f>_xlfn.IFERROR((E23/F23/31)," ")</f>
        <v>179.120065974513</v>
      </c>
      <c r="I23" s="70">
        <v>1753882.7899999996</v>
      </c>
      <c r="J23" s="70">
        <v>515847.88000000006</v>
      </c>
      <c r="K23" s="70">
        <v>2888748.119999999</v>
      </c>
    </row>
    <row r="24" spans="1:11" ht="12.75">
      <c r="A24" s="72">
        <v>44562</v>
      </c>
      <c r="B24" s="70">
        <v>68384418.31000002</v>
      </c>
      <c r="C24" s="70">
        <v>777088.4799999999</v>
      </c>
      <c r="D24" s="70">
        <f t="shared" si="0"/>
        <v>62753613.27000001</v>
      </c>
      <c r="E24" s="70">
        <v>4853716.559999999</v>
      </c>
      <c r="F24" s="71">
        <v>929</v>
      </c>
      <c r="G24" s="70">
        <f>_xlfn.IFERROR((E24/F24/31)," ")</f>
        <v>168.53767700267363</v>
      </c>
      <c r="I24" s="70">
        <v>1650263.6099999999</v>
      </c>
      <c r="J24" s="70">
        <v>485371.6800000001</v>
      </c>
      <c r="K24" s="70">
        <v>2718081.3</v>
      </c>
    </row>
    <row r="25" spans="1:11" ht="12.75">
      <c r="A25" s="72">
        <v>44593</v>
      </c>
      <c r="B25" s="70">
        <v>75411898.87</v>
      </c>
      <c r="C25" s="70">
        <v>696387.72</v>
      </c>
      <c r="D25" s="70">
        <f t="shared" si="0"/>
        <v>69183795.41000001</v>
      </c>
      <c r="E25" s="70">
        <v>5531715.74</v>
      </c>
      <c r="F25" s="71">
        <v>929</v>
      </c>
      <c r="G25" s="70">
        <f>_xlfn.IFERROR((E25/F25/28)," ")</f>
        <v>212.66014685529757</v>
      </c>
      <c r="I25" s="70">
        <v>1880783.34</v>
      </c>
      <c r="J25" s="70">
        <v>553171.6</v>
      </c>
      <c r="K25" s="70">
        <v>3097760.79</v>
      </c>
    </row>
    <row r="26" spans="1:11" ht="12.75">
      <c r="A26" s="72">
        <v>44621</v>
      </c>
      <c r="B26" s="70">
        <v>88066349.89000002</v>
      </c>
      <c r="C26" s="70">
        <v>780279.01</v>
      </c>
      <c r="D26" s="70">
        <f t="shared" si="0"/>
        <v>80668300.02000001</v>
      </c>
      <c r="E26" s="70">
        <v>6617770.8599999985</v>
      </c>
      <c r="F26" s="71">
        <v>929</v>
      </c>
      <c r="G26" s="70">
        <f>_xlfn.IFERROR((E26/F26/31)," ")</f>
        <v>229.7916892947671</v>
      </c>
      <c r="I26" s="70">
        <v>2250042.0999999996</v>
      </c>
      <c r="J26" s="70">
        <v>661777.0900000001</v>
      </c>
      <c r="K26" s="70">
        <v>3705951.68</v>
      </c>
    </row>
    <row r="27" spans="1:11" ht="13.5" thickBot="1">
      <c r="A27" s="112" t="s">
        <v>21</v>
      </c>
      <c r="B27" s="108">
        <f>SUM(B15:B26)</f>
        <v>884369570.59</v>
      </c>
      <c r="C27" s="108">
        <f>SUM(C15:C26)</f>
        <v>8088755.099999999</v>
      </c>
      <c r="D27" s="111">
        <f>SUM(D15:D26)</f>
        <v>811809614.0999999</v>
      </c>
      <c r="E27" s="108">
        <f>SUM(E15:E26)</f>
        <v>64471201.39000001</v>
      </c>
      <c r="F27" s="68">
        <f>AVERAGE(F15:F26)</f>
        <v>836.9166666666666</v>
      </c>
      <c r="G27" s="66">
        <f>AVERAGE(G15:G26)</f>
        <v>221.11689948033015</v>
      </c>
      <c r="H27" s="109"/>
      <c r="I27" s="108">
        <f>SUM(I15:I26)</f>
        <v>21920208.485</v>
      </c>
      <c r="J27" s="108">
        <f>SUM(J15:J26)</f>
        <v>6447120.294999999</v>
      </c>
      <c r="K27" s="108">
        <f>SUM(K15:K26)</f>
        <v>36103872.68</v>
      </c>
    </row>
    <row r="28" spans="2:11" ht="10.5" customHeight="1" thickTop="1">
      <c r="B28" s="106"/>
      <c r="C28" s="106"/>
      <c r="D28" s="107"/>
      <c r="E28" s="106"/>
      <c r="I28" s="106"/>
      <c r="J28" s="106"/>
      <c r="K28" s="106"/>
    </row>
    <row r="29" spans="1:11" s="102" customFormat="1" ht="12.75">
      <c r="A29" s="105"/>
      <c r="B29" s="103"/>
      <c r="C29" s="104">
        <f>_xlfn.IFERROR(C27/B27,"")</f>
        <v>0.009146351671285627</v>
      </c>
      <c r="D29" s="104">
        <f>_xlfn.IFERROR(D27/B27,"")</f>
        <v>0.9179529023804015</v>
      </c>
      <c r="E29" s="103">
        <f>_xlfn.IFERROR(E27/B27,"")</f>
        <v>0.07290074594831272</v>
      </c>
      <c r="I29" s="103">
        <f>_xlfn.IFERROR(I27/$E$27,"")</f>
        <v>0.3400000001923339</v>
      </c>
      <c r="J29" s="103">
        <f>_xlfn.IFERROR(J27/$E$27,"")</f>
        <v>0.10000000241968499</v>
      </c>
      <c r="K29" s="103">
        <f>_xlfn.IFERROR(K27/$E$27,"")</f>
        <v>0.559999998473737</v>
      </c>
    </row>
    <row r="31" spans="1:11" s="75" customFormat="1" ht="12.75">
      <c r="A31" s="131" t="s">
        <v>22</v>
      </c>
      <c r="B31" s="132"/>
      <c r="C31" s="132"/>
      <c r="D31" s="132"/>
      <c r="E31" s="132"/>
      <c r="F31" s="132"/>
      <c r="G31" s="132"/>
      <c r="H31" s="132"/>
      <c r="I31" s="132"/>
      <c r="J31" s="132"/>
      <c r="K31" s="132"/>
    </row>
    <row r="32" ht="12.75">
      <c r="A32" s="74"/>
    </row>
    <row r="33" spans="1:11" s="64" customFormat="1" ht="12.75" customHeight="1">
      <c r="A33" s="60" t="s">
        <v>23</v>
      </c>
      <c r="B33" s="61"/>
      <c r="C33" s="62" t="s">
        <v>96</v>
      </c>
      <c r="D33" s="63"/>
      <c r="E33" s="63"/>
      <c r="F33" s="63"/>
      <c r="G33" s="63"/>
      <c r="H33" s="63"/>
      <c r="I33" s="63"/>
      <c r="J33" s="63"/>
      <c r="K33" s="63"/>
    </row>
    <row r="34" spans="1:11" s="64" customFormat="1" ht="12.75" customHeight="1">
      <c r="A34" s="60"/>
      <c r="B34" s="61"/>
      <c r="C34" s="62" t="s">
        <v>97</v>
      </c>
      <c r="D34" s="63"/>
      <c r="E34" s="63"/>
      <c r="F34" s="63"/>
      <c r="G34" s="63"/>
      <c r="H34" s="63"/>
      <c r="I34" s="63"/>
      <c r="J34" s="63"/>
      <c r="K34" s="63"/>
    </row>
    <row r="35" spans="1:11" s="95" customFormat="1" ht="6" customHeight="1">
      <c r="A35" s="98"/>
      <c r="B35" s="93"/>
      <c r="C35" s="78"/>
      <c r="E35" s="101"/>
      <c r="F35" s="101"/>
      <c r="G35" s="101"/>
      <c r="H35" s="101"/>
      <c r="I35" s="101"/>
      <c r="J35" s="101"/>
      <c r="K35" s="101"/>
    </row>
    <row r="36" spans="1:11" s="95" customFormat="1" ht="12.75">
      <c r="A36" s="98" t="s">
        <v>99</v>
      </c>
      <c r="B36" s="93"/>
      <c r="C36" s="78" t="s">
        <v>89</v>
      </c>
      <c r="D36" s="96"/>
      <c r="E36" s="96"/>
      <c r="F36" s="78"/>
      <c r="G36" s="78"/>
      <c r="H36" s="78"/>
      <c r="I36" s="78"/>
      <c r="J36" s="93"/>
      <c r="K36" s="93"/>
    </row>
    <row r="37" spans="1:11" s="95" customFormat="1" ht="6" customHeight="1">
      <c r="A37" s="98"/>
      <c r="B37" s="93"/>
      <c r="C37" s="78"/>
      <c r="E37" s="96"/>
      <c r="F37" s="78"/>
      <c r="G37" s="78"/>
      <c r="H37" s="78"/>
      <c r="I37" s="78"/>
      <c r="J37" s="93"/>
      <c r="K37" s="93"/>
    </row>
    <row r="38" spans="1:11" s="95" customFormat="1" ht="12.75">
      <c r="A38" s="98" t="s">
        <v>24</v>
      </c>
      <c r="B38" s="93"/>
      <c r="C38" s="62" t="s">
        <v>103</v>
      </c>
      <c r="E38" s="96"/>
      <c r="F38" s="78"/>
      <c r="G38" s="78"/>
      <c r="H38" s="78"/>
      <c r="I38" s="78"/>
      <c r="J38" s="93"/>
      <c r="K38" s="93"/>
    </row>
    <row r="39" spans="1:11" s="95" customFormat="1" ht="6" customHeight="1">
      <c r="A39" s="98"/>
      <c r="B39" s="93"/>
      <c r="C39" s="78"/>
      <c r="E39" s="96"/>
      <c r="F39" s="78"/>
      <c r="G39" s="78"/>
      <c r="H39" s="78"/>
      <c r="I39" s="78"/>
      <c r="J39" s="93"/>
      <c r="K39" s="93"/>
    </row>
    <row r="40" spans="1:11" s="95" customFormat="1" ht="12.75">
      <c r="A40" s="98" t="s">
        <v>26</v>
      </c>
      <c r="B40" s="93"/>
      <c r="C40" s="93" t="s">
        <v>65</v>
      </c>
      <c r="E40" s="96"/>
      <c r="F40" s="97"/>
      <c r="G40" s="93"/>
      <c r="H40" s="93"/>
      <c r="I40" s="93"/>
      <c r="J40" s="93"/>
      <c r="K40" s="93"/>
    </row>
    <row r="41" spans="1:11" s="95" customFormat="1" ht="12.75">
      <c r="A41" s="98"/>
      <c r="B41" s="93"/>
      <c r="C41" s="93" t="s">
        <v>66</v>
      </c>
      <c r="E41" s="96"/>
      <c r="F41" s="97"/>
      <c r="G41" s="93"/>
      <c r="H41" s="93"/>
      <c r="I41" s="93"/>
      <c r="J41" s="93"/>
      <c r="K41" s="93"/>
    </row>
    <row r="42" spans="1:11" s="95" customFormat="1" ht="6" customHeight="1">
      <c r="A42" s="98"/>
      <c r="B42" s="93"/>
      <c r="C42" s="93"/>
      <c r="E42" s="96"/>
      <c r="F42" s="97"/>
      <c r="G42" s="93"/>
      <c r="H42" s="93"/>
      <c r="I42" s="93"/>
      <c r="J42" s="93"/>
      <c r="K42" s="93"/>
    </row>
    <row r="43" spans="1:11" s="95" customFormat="1" ht="12.75">
      <c r="A43" s="98" t="s">
        <v>29</v>
      </c>
      <c r="B43" s="93"/>
      <c r="C43" s="93" t="s">
        <v>30</v>
      </c>
      <c r="E43" s="96"/>
      <c r="F43" s="97"/>
      <c r="G43" s="93"/>
      <c r="H43" s="93"/>
      <c r="I43" s="93"/>
      <c r="J43" s="93"/>
      <c r="K43" s="93"/>
    </row>
    <row r="44" spans="1:11" s="95" customFormat="1" ht="6" customHeight="1">
      <c r="A44" s="98"/>
      <c r="B44" s="93"/>
      <c r="C44" s="93"/>
      <c r="D44" s="93"/>
      <c r="E44" s="96"/>
      <c r="F44" s="97"/>
      <c r="G44" s="93"/>
      <c r="H44" s="93"/>
      <c r="I44" s="93"/>
      <c r="J44" s="93"/>
      <c r="K44" s="93"/>
    </row>
    <row r="45" spans="1:11" s="95" customFormat="1" ht="12.75">
      <c r="A45" s="98" t="s">
        <v>76</v>
      </c>
      <c r="B45" s="93"/>
      <c r="C45" s="93" t="s">
        <v>105</v>
      </c>
      <c r="D45" s="96"/>
      <c r="E45" s="97"/>
      <c r="F45" s="93"/>
      <c r="G45" s="93"/>
      <c r="H45" s="93"/>
      <c r="I45" s="93"/>
      <c r="J45" s="93"/>
      <c r="K45" s="93"/>
    </row>
    <row r="46" spans="1:11" s="95" customFormat="1" ht="12.75">
      <c r="A46" s="98"/>
      <c r="B46" s="93"/>
      <c r="C46" s="93" t="s">
        <v>85</v>
      </c>
      <c r="D46" s="96"/>
      <c r="E46" s="97"/>
      <c r="F46" s="93"/>
      <c r="G46" s="93"/>
      <c r="H46" s="93"/>
      <c r="I46" s="93"/>
      <c r="J46" s="93"/>
      <c r="K46" s="93"/>
    </row>
    <row r="47" spans="1:11" s="95" customFormat="1" ht="12.75">
      <c r="A47" s="98"/>
      <c r="B47" s="93"/>
      <c r="C47" s="93" t="s">
        <v>86</v>
      </c>
      <c r="D47" s="96"/>
      <c r="E47" s="97"/>
      <c r="F47" s="93"/>
      <c r="G47" s="93"/>
      <c r="H47" s="93"/>
      <c r="I47" s="93"/>
      <c r="J47" s="93"/>
      <c r="K47" s="93"/>
    </row>
    <row r="48" spans="1:11" s="64" customFormat="1" ht="3" customHeight="1">
      <c r="A48" s="60"/>
      <c r="B48" s="61"/>
      <c r="C48" s="61"/>
      <c r="D48" s="127"/>
      <c r="E48" s="128"/>
      <c r="F48" s="61"/>
      <c r="G48" s="61"/>
      <c r="H48" s="61"/>
      <c r="I48" s="61"/>
      <c r="J48" s="61"/>
      <c r="K48" s="61"/>
    </row>
    <row r="49" spans="1:11" s="64" customFormat="1" ht="12.75" customHeight="1">
      <c r="A49" s="60"/>
      <c r="B49" s="61"/>
      <c r="C49" s="62" t="s">
        <v>121</v>
      </c>
      <c r="D49" s="62"/>
      <c r="E49" s="62"/>
      <c r="F49" s="62"/>
      <c r="G49" s="62"/>
      <c r="H49" s="62"/>
      <c r="I49" s="62"/>
      <c r="J49" s="62"/>
      <c r="K49" s="62"/>
    </row>
    <row r="50" spans="1:11" s="64" customFormat="1" ht="12.75">
      <c r="A50" s="60"/>
      <c r="B50" s="61"/>
      <c r="C50" s="62" t="s">
        <v>122</v>
      </c>
      <c r="D50" s="62"/>
      <c r="E50" s="62"/>
      <c r="F50" s="62"/>
      <c r="G50" s="62"/>
      <c r="H50" s="62"/>
      <c r="I50" s="62"/>
      <c r="J50" s="62"/>
      <c r="K50" s="62"/>
    </row>
    <row r="51" spans="1:11" s="64" customFormat="1" ht="12.75">
      <c r="A51" s="60"/>
      <c r="B51" s="61"/>
      <c r="C51" s="62" t="s">
        <v>123</v>
      </c>
      <c r="D51" s="62"/>
      <c r="E51" s="62"/>
      <c r="F51" s="62"/>
      <c r="G51" s="62"/>
      <c r="H51" s="62"/>
      <c r="I51" s="62"/>
      <c r="J51" s="62"/>
      <c r="K51" s="62"/>
    </row>
    <row r="52" spans="1:11" s="95" customFormat="1" ht="6" customHeight="1">
      <c r="A52" s="98"/>
      <c r="B52" s="93"/>
      <c r="C52" s="93"/>
      <c r="D52" s="93"/>
      <c r="E52" s="96"/>
      <c r="F52" s="97"/>
      <c r="G52" s="93"/>
      <c r="H52" s="93"/>
      <c r="I52" s="93"/>
      <c r="J52" s="93"/>
      <c r="K52" s="93"/>
    </row>
    <row r="53" spans="1:11" s="95" customFormat="1" ht="12.75">
      <c r="A53" s="98" t="s">
        <v>88</v>
      </c>
      <c r="B53" s="93"/>
      <c r="C53" s="93" t="s">
        <v>80</v>
      </c>
      <c r="D53" s="96"/>
      <c r="E53" s="97"/>
      <c r="F53" s="93"/>
      <c r="G53" s="93"/>
      <c r="H53" s="93"/>
      <c r="I53" s="93"/>
      <c r="J53" s="93"/>
      <c r="K53" s="93"/>
    </row>
    <row r="54" spans="1:11" s="95" customFormat="1" ht="12.75">
      <c r="A54" s="73"/>
      <c r="B54" s="93"/>
      <c r="C54" s="93" t="s">
        <v>81</v>
      </c>
      <c r="D54" s="96"/>
      <c r="E54" s="97"/>
      <c r="F54" s="93"/>
      <c r="G54" s="93"/>
      <c r="H54" s="93"/>
      <c r="I54" s="93"/>
      <c r="J54" s="93"/>
      <c r="K54" s="93"/>
    </row>
    <row r="55" spans="1:11" ht="12.75">
      <c r="A55" s="94"/>
      <c r="B55" s="91"/>
      <c r="C55" s="91"/>
      <c r="D55" s="93"/>
      <c r="E55" s="91"/>
      <c r="F55" s="92"/>
      <c r="G55" s="91"/>
      <c r="H55" s="91"/>
      <c r="I55" s="91"/>
      <c r="J55" s="91"/>
      <c r="K55" s="91"/>
    </row>
    <row r="56" spans="1:11" s="75" customFormat="1" ht="12.75">
      <c r="A56" s="131" t="s">
        <v>32</v>
      </c>
      <c r="B56" s="132"/>
      <c r="C56" s="132"/>
      <c r="D56" s="132"/>
      <c r="E56" s="132"/>
      <c r="F56" s="132"/>
      <c r="G56" s="132"/>
      <c r="H56" s="132"/>
      <c r="I56" s="132"/>
      <c r="J56" s="132"/>
      <c r="K56" s="132"/>
    </row>
    <row r="57" ht="12.75">
      <c r="A57" s="74"/>
    </row>
    <row r="58" spans="1:11" ht="13.5">
      <c r="A58" s="90"/>
      <c r="D58" s="89" t="s">
        <v>10</v>
      </c>
      <c r="E58" s="89" t="s">
        <v>83</v>
      </c>
      <c r="F58" s="130" t="s">
        <v>90</v>
      </c>
      <c r="G58" s="130"/>
      <c r="H58" s="130"/>
      <c r="I58" s="130"/>
      <c r="J58" s="114"/>
      <c r="K58" s="69"/>
    </row>
    <row r="59" spans="1:11" ht="12.75">
      <c r="A59" s="88"/>
      <c r="D59" s="85" t="s">
        <v>18</v>
      </c>
      <c r="E59" s="85" t="s">
        <v>84</v>
      </c>
      <c r="F59" s="85" t="s">
        <v>91</v>
      </c>
      <c r="G59" s="87" t="s">
        <v>92</v>
      </c>
      <c r="H59" s="86"/>
      <c r="I59" s="85" t="s">
        <v>93</v>
      </c>
      <c r="J59" s="114"/>
      <c r="K59" s="69"/>
    </row>
    <row r="60" spans="2:11" ht="12.75">
      <c r="B60" s="80"/>
      <c r="C60" s="80"/>
      <c r="D60" s="81">
        <v>0.34</v>
      </c>
      <c r="E60" s="81">
        <v>0.1</v>
      </c>
      <c r="F60" s="81">
        <v>0.46</v>
      </c>
      <c r="G60" s="83">
        <v>0.0875</v>
      </c>
      <c r="H60" s="82"/>
      <c r="I60" s="81">
        <v>0.0125</v>
      </c>
      <c r="J60" s="126"/>
      <c r="K60" s="69"/>
    </row>
    <row r="61" spans="2:11" ht="12.75">
      <c r="B61" s="80"/>
      <c r="C61" s="80"/>
      <c r="D61" s="80"/>
      <c r="E61" s="78"/>
      <c r="F61" s="79"/>
      <c r="G61" s="77"/>
      <c r="H61" s="78"/>
      <c r="I61" s="77"/>
      <c r="J61" s="77"/>
      <c r="K61" s="77"/>
    </row>
    <row r="62" spans="1:11" s="75" customFormat="1" ht="12.75">
      <c r="A62" s="133" t="s">
        <v>46</v>
      </c>
      <c r="B62" s="134"/>
      <c r="C62" s="134"/>
      <c r="D62" s="134"/>
      <c r="E62" s="134"/>
      <c r="F62" s="134"/>
      <c r="G62" s="134"/>
      <c r="H62" s="134"/>
      <c r="I62" s="134"/>
      <c r="J62" s="134"/>
      <c r="K62" s="134"/>
    </row>
    <row r="63" spans="1:6" ht="10.5" customHeight="1">
      <c r="A63" s="74"/>
      <c r="E63" s="69"/>
      <c r="F63" s="70"/>
    </row>
    <row r="64" spans="1:11" ht="51.75" customHeight="1">
      <c r="A64" s="135" t="s">
        <v>127</v>
      </c>
      <c r="B64" s="135"/>
      <c r="C64" s="135"/>
      <c r="D64" s="135"/>
      <c r="E64" s="135"/>
      <c r="F64" s="135"/>
      <c r="G64" s="135"/>
      <c r="H64" s="135"/>
      <c r="I64" s="135"/>
      <c r="J64" s="135"/>
      <c r="K64" s="135"/>
    </row>
    <row r="65" spans="1:6" ht="12.75">
      <c r="A65" s="70"/>
      <c r="E65" s="69"/>
      <c r="F65" s="70"/>
    </row>
    <row r="66" spans="2:5" ht="12.75">
      <c r="B66" s="74" t="s">
        <v>47</v>
      </c>
      <c r="C66" s="74"/>
      <c r="D66" s="74"/>
      <c r="E66" s="70">
        <v>865679</v>
      </c>
    </row>
    <row r="67" spans="2:5" ht="12.75">
      <c r="B67" s="74" t="s">
        <v>48</v>
      </c>
      <c r="C67" s="74"/>
      <c r="D67" s="74"/>
      <c r="E67" s="70">
        <v>288560</v>
      </c>
    </row>
    <row r="68" spans="2:5" ht="7.5" customHeight="1">
      <c r="B68" s="70" t="s">
        <v>33</v>
      </c>
      <c r="E68" s="70" t="s">
        <v>33</v>
      </c>
    </row>
    <row r="69" ht="12.75">
      <c r="E69" s="70" t="s">
        <v>33</v>
      </c>
    </row>
    <row r="70" ht="15" customHeight="1">
      <c r="A70" s="129" t="s">
        <v>100</v>
      </c>
    </row>
  </sheetData>
  <sheetProtection/>
  <mergeCells count="12">
    <mergeCell ref="A1:K1"/>
    <mergeCell ref="A2:K2"/>
    <mergeCell ref="A3:K3"/>
    <mergeCell ref="A4:K4"/>
    <mergeCell ref="A5:K5"/>
    <mergeCell ref="A8:K8"/>
    <mergeCell ref="I10:K10"/>
    <mergeCell ref="A31:K31"/>
    <mergeCell ref="A56:K56"/>
    <mergeCell ref="F58:I58"/>
    <mergeCell ref="A62:K62"/>
    <mergeCell ref="A64:K64"/>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81"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K70"/>
  <sheetViews>
    <sheetView zoomScale="90" zoomScaleNormal="90" zoomScalePageLayoutView="0" workbookViewId="0" topLeftCell="A1">
      <selection activeCell="B29" sqref="B29"/>
    </sheetView>
  </sheetViews>
  <sheetFormatPr defaultColWidth="9.140625" defaultRowHeight="12.75"/>
  <cols>
    <col min="1" max="1" width="9.28125" style="72" customWidth="1"/>
    <col min="2" max="2" width="14.140625" style="70" customWidth="1"/>
    <col min="3" max="3" width="13.421875" style="70" customWidth="1"/>
    <col min="4" max="4" width="14.140625" style="70" customWidth="1"/>
    <col min="5" max="5" width="12.7109375" style="70" customWidth="1"/>
    <col min="6" max="6" width="9.7109375" style="71" customWidth="1"/>
    <col min="7" max="7" width="10.28125" style="70" customWidth="1"/>
    <col min="8" max="8" width="2.28125" style="70" customWidth="1"/>
    <col min="9" max="10" width="13.00390625" style="70" customWidth="1"/>
    <col min="11" max="11" width="13.7109375" style="70" customWidth="1"/>
    <col min="12" max="12" width="12.7109375" style="69" customWidth="1"/>
    <col min="13" max="16384" width="9.140625" style="69" customWidth="1"/>
  </cols>
  <sheetData>
    <row r="1" spans="1:11" ht="18">
      <c r="A1" s="136" t="s">
        <v>102</v>
      </c>
      <c r="B1" s="136"/>
      <c r="C1" s="136"/>
      <c r="D1" s="136"/>
      <c r="E1" s="136"/>
      <c r="F1" s="136"/>
      <c r="G1" s="136"/>
      <c r="H1" s="136"/>
      <c r="I1" s="136"/>
      <c r="J1" s="136"/>
      <c r="K1" s="136"/>
    </row>
    <row r="2" spans="1:11" ht="15">
      <c r="A2" s="137" t="s">
        <v>1</v>
      </c>
      <c r="B2" s="137"/>
      <c r="C2" s="137"/>
      <c r="D2" s="137"/>
      <c r="E2" s="137"/>
      <c r="F2" s="137"/>
      <c r="G2" s="137"/>
      <c r="H2" s="137"/>
      <c r="I2" s="137"/>
      <c r="J2" s="137"/>
      <c r="K2" s="137"/>
    </row>
    <row r="3" spans="1:11" s="119" customFormat="1" ht="15">
      <c r="A3" s="137" t="s">
        <v>2</v>
      </c>
      <c r="B3" s="137"/>
      <c r="C3" s="137"/>
      <c r="D3" s="137"/>
      <c r="E3" s="137"/>
      <c r="F3" s="137"/>
      <c r="G3" s="137"/>
      <c r="H3" s="137"/>
      <c r="I3" s="137"/>
      <c r="J3" s="137"/>
      <c r="K3" s="137"/>
    </row>
    <row r="4" spans="1:11" s="119" customFormat="1" ht="12.75">
      <c r="A4" s="138" t="s">
        <v>3</v>
      </c>
      <c r="B4" s="139"/>
      <c r="C4" s="139"/>
      <c r="D4" s="139"/>
      <c r="E4" s="139"/>
      <c r="F4" s="139"/>
      <c r="G4" s="139"/>
      <c r="H4" s="139"/>
      <c r="I4" s="139"/>
      <c r="J4" s="139"/>
      <c r="K4" s="139"/>
    </row>
    <row r="5" spans="1:11" s="119" customFormat="1" ht="14.25">
      <c r="A5" s="140" t="s">
        <v>4</v>
      </c>
      <c r="B5" s="140"/>
      <c r="C5" s="140"/>
      <c r="D5" s="140"/>
      <c r="E5" s="140"/>
      <c r="F5" s="140"/>
      <c r="G5" s="140"/>
      <c r="H5" s="140"/>
      <c r="I5" s="140"/>
      <c r="J5" s="140"/>
      <c r="K5" s="140"/>
    </row>
    <row r="6" spans="1:11" s="119" customFormat="1" ht="14.25">
      <c r="A6" s="125"/>
      <c r="B6" s="125"/>
      <c r="C6" s="125"/>
      <c r="D6" s="125"/>
      <c r="E6" s="125"/>
      <c r="F6" s="125"/>
      <c r="G6" s="125"/>
      <c r="H6" s="125"/>
      <c r="I6" s="125"/>
      <c r="J6" s="125"/>
      <c r="K6" s="125"/>
    </row>
    <row r="7" spans="1:11" s="119" customFormat="1" ht="12.75">
      <c r="A7" s="72"/>
      <c r="B7" s="123"/>
      <c r="C7" s="123"/>
      <c r="D7" s="123"/>
      <c r="E7" s="120"/>
      <c r="F7" s="121"/>
      <c r="G7" s="120"/>
      <c r="H7" s="120"/>
      <c r="I7" s="120"/>
      <c r="J7" s="120"/>
      <c r="K7" s="120"/>
    </row>
    <row r="8" spans="1:11" s="124" customFormat="1" ht="14.25" customHeight="1">
      <c r="A8" s="131" t="s">
        <v>124</v>
      </c>
      <c r="B8" s="132"/>
      <c r="C8" s="132"/>
      <c r="D8" s="132"/>
      <c r="E8" s="132"/>
      <c r="F8" s="132"/>
      <c r="G8" s="132"/>
      <c r="H8" s="132"/>
      <c r="I8" s="132"/>
      <c r="J8" s="132"/>
      <c r="K8" s="132"/>
    </row>
    <row r="9" spans="1:11" s="119" customFormat="1" ht="9" customHeight="1">
      <c r="A9" s="72"/>
      <c r="B9" s="123"/>
      <c r="C9" s="123"/>
      <c r="D9" s="123"/>
      <c r="E9" s="120"/>
      <c r="F9" s="121"/>
      <c r="G9" s="120"/>
      <c r="H9" s="120"/>
      <c r="I9" s="120"/>
      <c r="J9" s="120"/>
      <c r="K9" s="120"/>
    </row>
    <row r="10" spans="1:11" s="119" customFormat="1" ht="12.75">
      <c r="A10" s="72"/>
      <c r="B10" s="120"/>
      <c r="C10" s="120"/>
      <c r="D10" s="120"/>
      <c r="E10" s="120"/>
      <c r="F10" s="121"/>
      <c r="G10" s="120"/>
      <c r="H10" s="120"/>
      <c r="I10" s="130" t="s">
        <v>6</v>
      </c>
      <c r="J10" s="130"/>
      <c r="K10" s="130"/>
    </row>
    <row r="11" spans="1:11" s="119" customFormat="1" ht="12.75">
      <c r="A11" s="72"/>
      <c r="B11" s="120"/>
      <c r="C11" s="120"/>
      <c r="D11" s="122"/>
      <c r="E11" s="120"/>
      <c r="F11" s="121"/>
      <c r="G11" s="120"/>
      <c r="H11" s="120"/>
      <c r="I11" s="120"/>
      <c r="J11" s="120"/>
      <c r="K11" s="120"/>
    </row>
    <row r="12" spans="1:11" s="113" customFormat="1" ht="12">
      <c r="A12" s="118"/>
      <c r="B12" s="89" t="s">
        <v>7</v>
      </c>
      <c r="C12" s="89" t="s">
        <v>75</v>
      </c>
      <c r="D12" s="89" t="s">
        <v>7</v>
      </c>
      <c r="E12" s="89"/>
      <c r="F12" s="117" t="s">
        <v>8</v>
      </c>
      <c r="G12" s="89" t="s">
        <v>9</v>
      </c>
      <c r="H12" s="89"/>
      <c r="I12" s="89" t="s">
        <v>10</v>
      </c>
      <c r="J12" s="89" t="s">
        <v>83</v>
      </c>
      <c r="K12" s="89" t="s">
        <v>82</v>
      </c>
    </row>
    <row r="13" spans="1:11" s="113" customFormat="1" ht="12">
      <c r="A13" s="116" t="s">
        <v>12</v>
      </c>
      <c r="B13" s="85" t="s">
        <v>13</v>
      </c>
      <c r="C13" s="85" t="s">
        <v>20</v>
      </c>
      <c r="D13" s="85" t="s">
        <v>14</v>
      </c>
      <c r="E13" s="85" t="s">
        <v>15</v>
      </c>
      <c r="F13" s="115" t="s">
        <v>16</v>
      </c>
      <c r="G13" s="85" t="s">
        <v>17</v>
      </c>
      <c r="H13" s="114"/>
      <c r="I13" s="85" t="s">
        <v>18</v>
      </c>
      <c r="J13" s="85" t="s">
        <v>84</v>
      </c>
      <c r="K13" s="85" t="s">
        <v>19</v>
      </c>
    </row>
    <row r="14" ht="12.75">
      <c r="D14" s="96"/>
    </row>
    <row r="15" spans="1:11" ht="12.75">
      <c r="A15" s="72">
        <v>43922</v>
      </c>
      <c r="B15" s="70">
        <v>0</v>
      </c>
      <c r="C15" s="70">
        <v>0</v>
      </c>
      <c r="D15" s="70">
        <f aca="true" t="shared" si="0" ref="D15:D26">IF(ISBLANK(B15),"",B15-C15-E15)</f>
        <v>0</v>
      </c>
      <c r="E15" s="70">
        <v>0</v>
      </c>
      <c r="F15" s="71">
        <v>0</v>
      </c>
      <c r="G15" s="70">
        <v>0</v>
      </c>
      <c r="I15" s="70">
        <v>0</v>
      </c>
      <c r="J15" s="70">
        <v>0</v>
      </c>
      <c r="K15" s="70">
        <v>0</v>
      </c>
    </row>
    <row r="16" spans="1:11" ht="12.75">
      <c r="A16" s="72">
        <v>43952</v>
      </c>
      <c r="B16" s="70">
        <v>0</v>
      </c>
      <c r="C16" s="70">
        <v>0</v>
      </c>
      <c r="D16" s="70">
        <f t="shared" si="0"/>
        <v>0</v>
      </c>
      <c r="E16" s="70">
        <v>0</v>
      </c>
      <c r="F16" s="71">
        <v>0</v>
      </c>
      <c r="G16" s="70">
        <v>0</v>
      </c>
      <c r="I16" s="70">
        <v>0</v>
      </c>
      <c r="J16" s="70">
        <v>0</v>
      </c>
      <c r="K16" s="70">
        <v>0</v>
      </c>
    </row>
    <row r="17" spans="1:11" ht="12.75">
      <c r="A17" s="72">
        <v>43983</v>
      </c>
      <c r="B17" s="70">
        <v>0</v>
      </c>
      <c r="C17" s="70">
        <v>0</v>
      </c>
      <c r="D17" s="70">
        <f>IF(ISBLANK(B17),"",B17-C17-E17)</f>
        <v>0</v>
      </c>
      <c r="E17" s="70">
        <v>0</v>
      </c>
      <c r="F17" s="71">
        <v>0</v>
      </c>
      <c r="G17" s="70">
        <v>0</v>
      </c>
      <c r="I17" s="70">
        <v>0</v>
      </c>
      <c r="J17" s="70">
        <v>0</v>
      </c>
      <c r="K17" s="70">
        <v>0</v>
      </c>
    </row>
    <row r="18" spans="1:11" ht="12.75">
      <c r="A18" s="72">
        <v>44013</v>
      </c>
      <c r="B18" s="70">
        <v>0</v>
      </c>
      <c r="C18" s="70">
        <v>0</v>
      </c>
      <c r="D18" s="70">
        <f>IF(ISBLANK(B18),"",B18-C18-E18)</f>
        <v>0</v>
      </c>
      <c r="E18" s="70">
        <v>0</v>
      </c>
      <c r="F18" s="71">
        <v>0</v>
      </c>
      <c r="G18" s="70">
        <v>0</v>
      </c>
      <c r="I18" s="70">
        <v>0</v>
      </c>
      <c r="J18" s="70">
        <v>0</v>
      </c>
      <c r="K18" s="70">
        <v>0</v>
      </c>
    </row>
    <row r="19" spans="1:11" ht="12.75">
      <c r="A19" s="72">
        <v>44044</v>
      </c>
      <c r="B19" s="70">
        <v>0</v>
      </c>
      <c r="C19" s="70">
        <v>0</v>
      </c>
      <c r="D19" s="70">
        <f>IF(ISBLANK(B19),"",B19-C19-E19)</f>
        <v>0</v>
      </c>
      <c r="E19" s="70">
        <v>0</v>
      </c>
      <c r="F19" s="71">
        <v>0</v>
      </c>
      <c r="G19" s="70">
        <v>0</v>
      </c>
      <c r="I19" s="70">
        <v>0</v>
      </c>
      <c r="J19" s="70">
        <v>0</v>
      </c>
      <c r="K19" s="70">
        <v>0</v>
      </c>
    </row>
    <row r="20" spans="1:11" ht="12.75">
      <c r="A20" s="72">
        <v>44075</v>
      </c>
      <c r="B20" s="70">
        <v>36187802.10999999</v>
      </c>
      <c r="C20" s="70">
        <v>248099.59000000005</v>
      </c>
      <c r="D20" s="70">
        <f t="shared" si="0"/>
        <v>33071722.47999999</v>
      </c>
      <c r="E20" s="70">
        <v>2867980.0400000005</v>
      </c>
      <c r="F20" s="71">
        <v>347</v>
      </c>
      <c r="G20" s="70">
        <f>IF(ISBLANK(B20),"",+E20/F20/22)</f>
        <v>375.68509824469487</v>
      </c>
      <c r="I20" s="70">
        <v>975113.2100000001</v>
      </c>
      <c r="J20" s="70">
        <v>286798.01</v>
      </c>
      <c r="K20" s="70">
        <v>1606068.84</v>
      </c>
    </row>
    <row r="21" spans="1:11" ht="12.75">
      <c r="A21" s="72">
        <v>44105</v>
      </c>
      <c r="B21" s="70">
        <v>52701921.33</v>
      </c>
      <c r="C21" s="70">
        <v>135935.2</v>
      </c>
      <c r="D21" s="70">
        <f t="shared" si="0"/>
        <v>48391068.38999999</v>
      </c>
      <c r="E21" s="70">
        <v>4174917.74</v>
      </c>
      <c r="F21" s="71">
        <v>376.61</v>
      </c>
      <c r="G21" s="70">
        <f>IF(ISBLANK(B21),"",+E21/F21/31)</f>
        <v>357.5974238773575</v>
      </c>
      <c r="I21" s="70">
        <v>1419472.06</v>
      </c>
      <c r="J21" s="70">
        <v>417491.79</v>
      </c>
      <c r="K21" s="70">
        <v>2337953.93</v>
      </c>
    </row>
    <row r="22" spans="1:11" ht="12.75">
      <c r="A22" s="72">
        <v>44136</v>
      </c>
      <c r="B22" s="70">
        <v>42397024.800000004</v>
      </c>
      <c r="C22" s="70">
        <v>470897.6899999999</v>
      </c>
      <c r="D22" s="70">
        <f t="shared" si="0"/>
        <v>38869271.440000005</v>
      </c>
      <c r="E22" s="70">
        <v>3056855.670000001</v>
      </c>
      <c r="F22" s="71">
        <v>404.93333333333334</v>
      </c>
      <c r="G22" s="70">
        <f>IF(ISBLANK(B22),"",+E22/F22/30)</f>
        <v>251.6344805729339</v>
      </c>
      <c r="I22" s="70">
        <v>1039330.9599999997</v>
      </c>
      <c r="J22" s="70">
        <v>305685.58999999997</v>
      </c>
      <c r="K22" s="70">
        <v>1711839.1999999997</v>
      </c>
    </row>
    <row r="23" spans="1:11" ht="12.75">
      <c r="A23" s="72">
        <v>44166</v>
      </c>
      <c r="B23" s="70">
        <v>42191220.510000005</v>
      </c>
      <c r="C23" s="70">
        <v>511391.49</v>
      </c>
      <c r="D23" s="70">
        <f t="shared" si="0"/>
        <v>38847747.730000004</v>
      </c>
      <c r="E23" s="70">
        <v>2832081.2900000005</v>
      </c>
      <c r="F23" s="71">
        <v>435.84</v>
      </c>
      <c r="G23" s="70">
        <f>IF(ISBLANK(B23),"",+E23/F23/31)</f>
        <v>209.61238291056802</v>
      </c>
      <c r="I23" s="70">
        <v>962907.6400000001</v>
      </c>
      <c r="J23" s="70">
        <v>283208.11999999994</v>
      </c>
      <c r="K23" s="70">
        <v>1585965.5200000005</v>
      </c>
    </row>
    <row r="24" spans="1:11" ht="12.75">
      <c r="A24" s="72">
        <v>44197</v>
      </c>
      <c r="B24" s="70">
        <v>53755974.08999999</v>
      </c>
      <c r="C24" s="70">
        <v>552475.95</v>
      </c>
      <c r="D24" s="70">
        <f t="shared" si="0"/>
        <v>49378229.859999985</v>
      </c>
      <c r="E24" s="70">
        <v>3825268.2800000007</v>
      </c>
      <c r="F24" s="71">
        <v>479</v>
      </c>
      <c r="G24" s="70">
        <f>IF(ISBLANK(B24),"",+E24/F24/31)</f>
        <v>257.6111711226346</v>
      </c>
      <c r="I24" s="70">
        <v>1300591.22</v>
      </c>
      <c r="J24" s="70">
        <v>382526.83</v>
      </c>
      <c r="K24" s="70">
        <v>2142150.22</v>
      </c>
    </row>
    <row r="25" spans="1:11" ht="12.75">
      <c r="A25" s="72">
        <v>44228</v>
      </c>
      <c r="B25" s="70">
        <v>50338070.69999999</v>
      </c>
      <c r="C25" s="70">
        <v>566116.32</v>
      </c>
      <c r="D25" s="70">
        <f t="shared" si="0"/>
        <v>46200320.08999999</v>
      </c>
      <c r="E25" s="70">
        <v>3571634.289999999</v>
      </c>
      <c r="F25" s="71">
        <f>13860/28</f>
        <v>495</v>
      </c>
      <c r="G25" s="70">
        <f>IF(ISBLANK(B25),"",+E25/F25/28)</f>
        <v>257.69367171717164</v>
      </c>
      <c r="I25" s="70">
        <v>1214355.6499999994</v>
      </c>
      <c r="J25" s="70">
        <v>357163.4399999999</v>
      </c>
      <c r="K25" s="70">
        <v>2000115.2200000002</v>
      </c>
    </row>
    <row r="26" spans="1:11" ht="12.75">
      <c r="A26" s="72">
        <v>44256</v>
      </c>
      <c r="B26" s="70">
        <v>65940586.760000005</v>
      </c>
      <c r="C26" s="70">
        <v>625003.45</v>
      </c>
      <c r="D26" s="70">
        <f t="shared" si="0"/>
        <v>60406688.2</v>
      </c>
      <c r="E26" s="70">
        <v>4908895.11</v>
      </c>
      <c r="F26" s="71">
        <v>495</v>
      </c>
      <c r="G26" s="70">
        <f>IF(ISBLANK(B26),"",+E26/F26/31)</f>
        <v>319.90192961876835</v>
      </c>
      <c r="I26" s="70">
        <v>1669024.35</v>
      </c>
      <c r="J26" s="70">
        <v>490889.50000000006</v>
      </c>
      <c r="K26" s="70">
        <v>2748981.26</v>
      </c>
    </row>
    <row r="27" spans="1:11" ht="13.5" thickBot="1">
      <c r="A27" s="112" t="s">
        <v>21</v>
      </c>
      <c r="B27" s="108">
        <f>SUM(B15:B26)</f>
        <v>343512600.29999995</v>
      </c>
      <c r="C27" s="108">
        <f>SUM(C15:C26)</f>
        <v>3109919.6899999995</v>
      </c>
      <c r="D27" s="111">
        <f>SUM(D15:D26)</f>
        <v>315165048.18999994</v>
      </c>
      <c r="E27" s="108">
        <f>SUM(E15:E26)</f>
        <v>25237632.42</v>
      </c>
      <c r="F27" s="110">
        <f>SUM(F20:F26)/COUNT(F20:F26)</f>
        <v>433.3404761904762</v>
      </c>
      <c r="G27" s="108">
        <f>_xlfn.IFERROR(E27/F27/180," ")</f>
        <v>323.55405669137326</v>
      </c>
      <c r="H27" s="109"/>
      <c r="I27" s="108">
        <f>SUM(I15:I26)</f>
        <v>8580795.089999998</v>
      </c>
      <c r="J27" s="108">
        <f>SUM(J15:J26)</f>
        <v>2523763.2800000003</v>
      </c>
      <c r="K27" s="108">
        <f>SUM(K15:K26)</f>
        <v>14133074.190000001</v>
      </c>
    </row>
    <row r="28" spans="2:11" ht="10.5" customHeight="1" thickTop="1">
      <c r="B28" s="106"/>
      <c r="C28" s="106"/>
      <c r="D28" s="107"/>
      <c r="E28" s="106"/>
      <c r="I28" s="106"/>
      <c r="J28" s="106"/>
      <c r="K28" s="106"/>
    </row>
    <row r="29" spans="1:11" s="102" customFormat="1" ht="12.75">
      <c r="A29" s="105"/>
      <c r="B29" s="103"/>
      <c r="C29" s="104">
        <f>_xlfn.IFERROR(C27/B27,"")</f>
        <v>0.009053291457966935</v>
      </c>
      <c r="D29" s="104">
        <f>_xlfn.IFERROR(D27/B27,"")</f>
        <v>0.9174774023274743</v>
      </c>
      <c r="E29" s="103">
        <f>_xlfn.IFERROR(E27/B27,"")</f>
        <v>0.07346930621455869</v>
      </c>
      <c r="I29" s="103">
        <f>_xlfn.IFERROR(I27/$E$27,"")</f>
        <v>0.34000000266269026</v>
      </c>
      <c r="J29" s="103">
        <f>_xlfn.IFERROR(J27/$E$27,"")</f>
        <v>0.100000001505688</v>
      </c>
      <c r="K29" s="103">
        <f>_xlfn.IFERROR(K27/$E$27,"")</f>
        <v>0.5600000013788933</v>
      </c>
    </row>
    <row r="31" spans="1:11" s="75" customFormat="1" ht="12.75">
      <c r="A31" s="131" t="s">
        <v>22</v>
      </c>
      <c r="B31" s="132"/>
      <c r="C31" s="132"/>
      <c r="D31" s="132"/>
      <c r="E31" s="132"/>
      <c r="F31" s="132"/>
      <c r="G31" s="132"/>
      <c r="H31" s="132"/>
      <c r="I31" s="132"/>
      <c r="J31" s="132"/>
      <c r="K31" s="132"/>
    </row>
    <row r="32" ht="12.75">
      <c r="A32" s="74"/>
    </row>
    <row r="33" spans="1:11" s="64" customFormat="1" ht="12.75" customHeight="1">
      <c r="A33" s="60" t="s">
        <v>23</v>
      </c>
      <c r="B33" s="61"/>
      <c r="C33" s="62" t="s">
        <v>96</v>
      </c>
      <c r="D33" s="63"/>
      <c r="E33" s="63"/>
      <c r="F33" s="63"/>
      <c r="G33" s="63"/>
      <c r="H33" s="63"/>
      <c r="I33" s="63"/>
      <c r="J33" s="63"/>
      <c r="K33" s="63"/>
    </row>
    <row r="34" spans="1:11" s="64" customFormat="1" ht="12.75" customHeight="1">
      <c r="A34" s="60"/>
      <c r="B34" s="61"/>
      <c r="C34" s="62" t="s">
        <v>97</v>
      </c>
      <c r="D34" s="63"/>
      <c r="E34" s="63"/>
      <c r="F34" s="63"/>
      <c r="G34" s="63"/>
      <c r="H34" s="63"/>
      <c r="I34" s="63"/>
      <c r="J34" s="63"/>
      <c r="K34" s="63"/>
    </row>
    <row r="35" spans="1:11" s="95" customFormat="1" ht="6" customHeight="1">
      <c r="A35" s="98"/>
      <c r="B35" s="93"/>
      <c r="C35" s="78"/>
      <c r="E35" s="101"/>
      <c r="F35" s="101"/>
      <c r="G35" s="101"/>
      <c r="H35" s="101"/>
      <c r="I35" s="101"/>
      <c r="J35" s="101"/>
      <c r="K35" s="101"/>
    </row>
    <row r="36" spans="1:11" s="95" customFormat="1" ht="12.75">
      <c r="A36" s="98" t="s">
        <v>99</v>
      </c>
      <c r="B36" s="93"/>
      <c r="C36" s="78" t="s">
        <v>89</v>
      </c>
      <c r="D36" s="96"/>
      <c r="E36" s="96"/>
      <c r="F36" s="78"/>
      <c r="G36" s="78"/>
      <c r="H36" s="78"/>
      <c r="I36" s="78"/>
      <c r="J36" s="93"/>
      <c r="K36" s="93"/>
    </row>
    <row r="37" spans="1:11" s="95" customFormat="1" ht="6" customHeight="1">
      <c r="A37" s="98"/>
      <c r="B37" s="93"/>
      <c r="C37" s="78"/>
      <c r="E37" s="96"/>
      <c r="F37" s="78"/>
      <c r="G37" s="78"/>
      <c r="H37" s="78"/>
      <c r="I37" s="78"/>
      <c r="J37" s="93"/>
      <c r="K37" s="93"/>
    </row>
    <row r="38" spans="1:11" s="95" customFormat="1" ht="12.75">
      <c r="A38" s="98" t="s">
        <v>24</v>
      </c>
      <c r="B38" s="93"/>
      <c r="C38" s="62" t="s">
        <v>103</v>
      </c>
      <c r="E38" s="96"/>
      <c r="F38" s="78"/>
      <c r="G38" s="78"/>
      <c r="H38" s="78"/>
      <c r="I38" s="78"/>
      <c r="J38" s="93"/>
      <c r="K38" s="93"/>
    </row>
    <row r="39" spans="1:11" s="95" customFormat="1" ht="6" customHeight="1">
      <c r="A39" s="98"/>
      <c r="B39" s="93"/>
      <c r="C39" s="78"/>
      <c r="E39" s="96"/>
      <c r="F39" s="78"/>
      <c r="G39" s="78"/>
      <c r="H39" s="78"/>
      <c r="I39" s="78"/>
      <c r="J39" s="93"/>
      <c r="K39" s="93"/>
    </row>
    <row r="40" spans="1:11" s="95" customFormat="1" ht="12.75">
      <c r="A40" s="98" t="s">
        <v>26</v>
      </c>
      <c r="B40" s="93"/>
      <c r="C40" s="93" t="s">
        <v>65</v>
      </c>
      <c r="E40" s="96"/>
      <c r="F40" s="97"/>
      <c r="G40" s="93"/>
      <c r="H40" s="93"/>
      <c r="I40" s="93"/>
      <c r="J40" s="93"/>
      <c r="K40" s="93"/>
    </row>
    <row r="41" spans="1:11" s="95" customFormat="1" ht="12.75">
      <c r="A41" s="98"/>
      <c r="B41" s="93"/>
      <c r="C41" s="93" t="s">
        <v>66</v>
      </c>
      <c r="E41" s="96"/>
      <c r="F41" s="97"/>
      <c r="G41" s="93"/>
      <c r="H41" s="93"/>
      <c r="I41" s="93"/>
      <c r="J41" s="93"/>
      <c r="K41" s="93"/>
    </row>
    <row r="42" spans="1:11" s="95" customFormat="1" ht="6" customHeight="1">
      <c r="A42" s="98"/>
      <c r="B42" s="93"/>
      <c r="C42" s="93"/>
      <c r="E42" s="96"/>
      <c r="F42" s="97"/>
      <c r="G42" s="93"/>
      <c r="H42" s="93"/>
      <c r="I42" s="93"/>
      <c r="J42" s="93"/>
      <c r="K42" s="93"/>
    </row>
    <row r="43" spans="1:11" s="95" customFormat="1" ht="12.75">
      <c r="A43" s="98" t="s">
        <v>29</v>
      </c>
      <c r="B43" s="93"/>
      <c r="C43" s="93" t="s">
        <v>30</v>
      </c>
      <c r="E43" s="96"/>
      <c r="F43" s="97"/>
      <c r="G43" s="93"/>
      <c r="H43" s="93"/>
      <c r="I43" s="93"/>
      <c r="J43" s="93"/>
      <c r="K43" s="93"/>
    </row>
    <row r="44" spans="1:11" s="95" customFormat="1" ht="6" customHeight="1">
      <c r="A44" s="98"/>
      <c r="B44" s="93"/>
      <c r="C44" s="93"/>
      <c r="D44" s="93"/>
      <c r="E44" s="96"/>
      <c r="F44" s="97"/>
      <c r="G44" s="93"/>
      <c r="H44" s="93"/>
      <c r="I44" s="93"/>
      <c r="J44" s="93"/>
      <c r="K44" s="93"/>
    </row>
    <row r="45" spans="1:11" s="95" customFormat="1" ht="12.75">
      <c r="A45" s="98" t="s">
        <v>76</v>
      </c>
      <c r="B45" s="93"/>
      <c r="C45" s="93" t="s">
        <v>105</v>
      </c>
      <c r="D45" s="96"/>
      <c r="E45" s="97"/>
      <c r="F45" s="93"/>
      <c r="G45" s="93"/>
      <c r="H45" s="93"/>
      <c r="I45" s="93"/>
      <c r="J45" s="93"/>
      <c r="K45" s="93"/>
    </row>
    <row r="46" spans="1:11" s="95" customFormat="1" ht="12.75">
      <c r="A46" s="98"/>
      <c r="B46" s="93"/>
      <c r="C46" s="93" t="s">
        <v>85</v>
      </c>
      <c r="D46" s="96"/>
      <c r="E46" s="97"/>
      <c r="F46" s="93"/>
      <c r="G46" s="93"/>
      <c r="H46" s="93"/>
      <c r="I46" s="93"/>
      <c r="J46" s="93"/>
      <c r="K46" s="93"/>
    </row>
    <row r="47" spans="1:11" s="95" customFormat="1" ht="12.75">
      <c r="A47" s="98"/>
      <c r="B47" s="93"/>
      <c r="C47" s="93" t="s">
        <v>86</v>
      </c>
      <c r="D47" s="96"/>
      <c r="E47" s="97"/>
      <c r="F47" s="93"/>
      <c r="G47" s="93"/>
      <c r="H47" s="93"/>
      <c r="I47" s="93"/>
      <c r="J47" s="93"/>
      <c r="K47" s="93"/>
    </row>
    <row r="48" spans="1:11" s="64" customFormat="1" ht="3" customHeight="1">
      <c r="A48" s="60"/>
      <c r="B48" s="61"/>
      <c r="C48" s="61"/>
      <c r="D48" s="127"/>
      <c r="E48" s="128"/>
      <c r="F48" s="61"/>
      <c r="G48" s="61"/>
      <c r="H48" s="61"/>
      <c r="I48" s="61"/>
      <c r="J48" s="61"/>
      <c r="K48" s="61"/>
    </row>
    <row r="49" spans="1:11" s="64" customFormat="1" ht="12.75" customHeight="1">
      <c r="A49" s="60"/>
      <c r="B49" s="61"/>
      <c r="C49" s="62" t="s">
        <v>121</v>
      </c>
      <c r="D49" s="62"/>
      <c r="E49" s="62"/>
      <c r="F49" s="62"/>
      <c r="G49" s="62"/>
      <c r="H49" s="62"/>
      <c r="I49" s="62"/>
      <c r="J49" s="62"/>
      <c r="K49" s="62"/>
    </row>
    <row r="50" spans="1:11" s="64" customFormat="1" ht="12.75">
      <c r="A50" s="60"/>
      <c r="B50" s="61"/>
      <c r="C50" s="62" t="s">
        <v>122</v>
      </c>
      <c r="D50" s="62"/>
      <c r="E50" s="62"/>
      <c r="F50" s="62"/>
      <c r="G50" s="62"/>
      <c r="H50" s="62"/>
      <c r="I50" s="62"/>
      <c r="J50" s="62"/>
      <c r="K50" s="62"/>
    </row>
    <row r="51" spans="1:11" s="64" customFormat="1" ht="12.75">
      <c r="A51" s="60"/>
      <c r="B51" s="61"/>
      <c r="C51" s="62" t="s">
        <v>123</v>
      </c>
      <c r="D51" s="62"/>
      <c r="E51" s="62"/>
      <c r="F51" s="62"/>
      <c r="G51" s="62"/>
      <c r="H51" s="62"/>
      <c r="I51" s="62"/>
      <c r="J51" s="62"/>
      <c r="K51" s="62"/>
    </row>
    <row r="52" spans="1:11" s="95" customFormat="1" ht="6" customHeight="1">
      <c r="A52" s="98"/>
      <c r="B52" s="93"/>
      <c r="C52" s="93"/>
      <c r="D52" s="93"/>
      <c r="E52" s="96"/>
      <c r="F52" s="97"/>
      <c r="G52" s="93"/>
      <c r="H52" s="93"/>
      <c r="I52" s="93"/>
      <c r="J52" s="93"/>
      <c r="K52" s="93"/>
    </row>
    <row r="53" spans="1:11" s="95" customFormat="1" ht="12.75">
      <c r="A53" s="98" t="s">
        <v>88</v>
      </c>
      <c r="B53" s="93"/>
      <c r="C53" s="93" t="s">
        <v>80</v>
      </c>
      <c r="D53" s="96"/>
      <c r="E53" s="97"/>
      <c r="F53" s="93"/>
      <c r="G53" s="93"/>
      <c r="H53" s="93"/>
      <c r="I53" s="93"/>
      <c r="J53" s="93"/>
      <c r="K53" s="93"/>
    </row>
    <row r="54" spans="1:11" s="95" customFormat="1" ht="12.75">
      <c r="A54" s="73"/>
      <c r="B54" s="93"/>
      <c r="C54" s="93" t="s">
        <v>81</v>
      </c>
      <c r="D54" s="96"/>
      <c r="E54" s="97"/>
      <c r="F54" s="93"/>
      <c r="G54" s="93"/>
      <c r="H54" s="93"/>
      <c r="I54" s="93"/>
      <c r="J54" s="93"/>
      <c r="K54" s="93"/>
    </row>
    <row r="55" spans="1:11" ht="12.75">
      <c r="A55" s="94"/>
      <c r="B55" s="91"/>
      <c r="C55" s="91"/>
      <c r="D55" s="93"/>
      <c r="E55" s="91"/>
      <c r="F55" s="92"/>
      <c r="G55" s="91"/>
      <c r="H55" s="91"/>
      <c r="I55" s="91"/>
      <c r="J55" s="91"/>
      <c r="K55" s="91"/>
    </row>
    <row r="56" spans="1:11" s="75" customFormat="1" ht="12.75">
      <c r="A56" s="131" t="s">
        <v>32</v>
      </c>
      <c r="B56" s="132"/>
      <c r="C56" s="132"/>
      <c r="D56" s="132"/>
      <c r="E56" s="132"/>
      <c r="F56" s="132"/>
      <c r="G56" s="132"/>
      <c r="H56" s="132"/>
      <c r="I56" s="132"/>
      <c r="J56" s="132"/>
      <c r="K56" s="132"/>
    </row>
    <row r="57" ht="12.75">
      <c r="A57" s="74"/>
    </row>
    <row r="58" spans="1:11" ht="13.5">
      <c r="A58" s="90"/>
      <c r="D58" s="89" t="s">
        <v>10</v>
      </c>
      <c r="E58" s="89" t="s">
        <v>83</v>
      </c>
      <c r="F58" s="130" t="s">
        <v>90</v>
      </c>
      <c r="G58" s="130"/>
      <c r="H58" s="130"/>
      <c r="I58" s="130"/>
      <c r="J58" s="114"/>
      <c r="K58" s="69"/>
    </row>
    <row r="59" spans="1:11" ht="12.75">
      <c r="A59" s="88"/>
      <c r="D59" s="85" t="s">
        <v>18</v>
      </c>
      <c r="E59" s="85" t="s">
        <v>84</v>
      </c>
      <c r="F59" s="85" t="s">
        <v>91</v>
      </c>
      <c r="G59" s="87" t="s">
        <v>92</v>
      </c>
      <c r="H59" s="86"/>
      <c r="I59" s="85" t="s">
        <v>93</v>
      </c>
      <c r="J59" s="114"/>
      <c r="K59" s="69"/>
    </row>
    <row r="60" spans="2:11" ht="12.75">
      <c r="B60" s="80"/>
      <c r="C60" s="80"/>
      <c r="D60" s="81">
        <v>0.34</v>
      </c>
      <c r="E60" s="81">
        <v>0.1</v>
      </c>
      <c r="F60" s="81">
        <v>0.46</v>
      </c>
      <c r="G60" s="83">
        <v>0.0875</v>
      </c>
      <c r="H60" s="82"/>
      <c r="I60" s="81">
        <v>0.0125</v>
      </c>
      <c r="J60" s="126"/>
      <c r="K60" s="69"/>
    </row>
    <row r="61" spans="2:11" ht="12.75">
      <c r="B61" s="80"/>
      <c r="C61" s="80"/>
      <c r="D61" s="80"/>
      <c r="E61" s="78"/>
      <c r="F61" s="79"/>
      <c r="G61" s="77"/>
      <c r="H61" s="78"/>
      <c r="I61" s="77"/>
      <c r="J61" s="77"/>
      <c r="K61" s="77"/>
    </row>
    <row r="62" spans="1:11" s="75" customFormat="1" ht="12.75">
      <c r="A62" s="133" t="s">
        <v>46</v>
      </c>
      <c r="B62" s="134"/>
      <c r="C62" s="134"/>
      <c r="D62" s="134"/>
      <c r="E62" s="134"/>
      <c r="F62" s="134"/>
      <c r="G62" s="134"/>
      <c r="H62" s="134"/>
      <c r="I62" s="134"/>
      <c r="J62" s="134"/>
      <c r="K62" s="134"/>
    </row>
    <row r="63" spans="1:6" ht="10.5" customHeight="1">
      <c r="A63" s="74"/>
      <c r="E63" s="69"/>
      <c r="F63" s="70"/>
    </row>
    <row r="64" spans="1:11" ht="51.75" customHeight="1">
      <c r="A64" s="135" t="s">
        <v>125</v>
      </c>
      <c r="B64" s="135"/>
      <c r="C64" s="135"/>
      <c r="D64" s="135"/>
      <c r="E64" s="135"/>
      <c r="F64" s="135"/>
      <c r="G64" s="135"/>
      <c r="H64" s="135"/>
      <c r="I64" s="135"/>
      <c r="J64" s="135"/>
      <c r="K64" s="135"/>
    </row>
    <row r="65" spans="1:6" ht="12.75">
      <c r="A65" s="70"/>
      <c r="E65" s="69"/>
      <c r="F65" s="70"/>
    </row>
    <row r="66" spans="2:5" ht="12.75">
      <c r="B66" s="74" t="s">
        <v>47</v>
      </c>
      <c r="C66" s="74"/>
      <c r="D66" s="74"/>
      <c r="E66" s="70">
        <v>865679</v>
      </c>
    </row>
    <row r="67" spans="2:5" ht="12.75">
      <c r="B67" s="74" t="s">
        <v>48</v>
      </c>
      <c r="C67" s="74"/>
      <c r="D67" s="74"/>
      <c r="E67" s="70">
        <v>288560</v>
      </c>
    </row>
    <row r="68" spans="2:5" ht="7.5" customHeight="1">
      <c r="B68" s="70" t="s">
        <v>33</v>
      </c>
      <c r="E68" s="70" t="s">
        <v>33</v>
      </c>
    </row>
    <row r="69" ht="12.75">
      <c r="E69" s="70" t="s">
        <v>33</v>
      </c>
    </row>
    <row r="70" ht="15" customHeight="1">
      <c r="A70" s="129" t="s">
        <v>100</v>
      </c>
    </row>
  </sheetData>
  <sheetProtection/>
  <mergeCells count="12">
    <mergeCell ref="A1:K1"/>
    <mergeCell ref="A2:K2"/>
    <mergeCell ref="A3:K3"/>
    <mergeCell ref="A4:K4"/>
    <mergeCell ref="A5:K5"/>
    <mergeCell ref="A8:K8"/>
    <mergeCell ref="I10:K10"/>
    <mergeCell ref="A31:K31"/>
    <mergeCell ref="A56:K56"/>
    <mergeCell ref="F58:I58"/>
    <mergeCell ref="A62:K62"/>
    <mergeCell ref="A64:K64"/>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81"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K70"/>
  <sheetViews>
    <sheetView zoomScale="90" zoomScaleNormal="90" zoomScalePageLayoutView="0" workbookViewId="0" topLeftCell="A1">
      <selection activeCell="B29" sqref="B29"/>
    </sheetView>
  </sheetViews>
  <sheetFormatPr defaultColWidth="9.140625" defaultRowHeight="12.75"/>
  <cols>
    <col min="1" max="1" width="9.28125" style="72" customWidth="1"/>
    <col min="2" max="2" width="14.140625" style="70" customWidth="1"/>
    <col min="3" max="3" width="13.421875" style="70" customWidth="1"/>
    <col min="4" max="4" width="14.140625" style="70" customWidth="1"/>
    <col min="5" max="5" width="12.7109375" style="70" customWidth="1"/>
    <col min="6" max="6" width="9.7109375" style="71" customWidth="1"/>
    <col min="7" max="7" width="10.28125" style="70" customWidth="1"/>
    <col min="8" max="8" width="2.28125" style="70" customWidth="1"/>
    <col min="9" max="10" width="13.00390625" style="70" customWidth="1"/>
    <col min="11" max="11" width="13.7109375" style="70" customWidth="1"/>
    <col min="12" max="12" width="12.7109375" style="69" customWidth="1"/>
    <col min="13" max="16384" width="9.140625" style="69" customWidth="1"/>
  </cols>
  <sheetData>
    <row r="1" spans="1:11" ht="18">
      <c r="A1" s="136" t="s">
        <v>102</v>
      </c>
      <c r="B1" s="136"/>
      <c r="C1" s="136"/>
      <c r="D1" s="136"/>
      <c r="E1" s="136"/>
      <c r="F1" s="136"/>
      <c r="G1" s="136"/>
      <c r="H1" s="136"/>
      <c r="I1" s="136"/>
      <c r="J1" s="136"/>
      <c r="K1" s="136"/>
    </row>
    <row r="2" spans="1:11" ht="15">
      <c r="A2" s="137" t="s">
        <v>1</v>
      </c>
      <c r="B2" s="137"/>
      <c r="C2" s="137"/>
      <c r="D2" s="137"/>
      <c r="E2" s="137"/>
      <c r="F2" s="137"/>
      <c r="G2" s="137"/>
      <c r="H2" s="137"/>
      <c r="I2" s="137"/>
      <c r="J2" s="137"/>
      <c r="K2" s="137"/>
    </row>
    <row r="3" spans="1:11" s="119" customFormat="1" ht="15">
      <c r="A3" s="137" t="s">
        <v>2</v>
      </c>
      <c r="B3" s="137"/>
      <c r="C3" s="137"/>
      <c r="D3" s="137"/>
      <c r="E3" s="137"/>
      <c r="F3" s="137"/>
      <c r="G3" s="137"/>
      <c r="H3" s="137"/>
      <c r="I3" s="137"/>
      <c r="J3" s="137"/>
      <c r="K3" s="137"/>
    </row>
    <row r="4" spans="1:11" s="119" customFormat="1" ht="12.75">
      <c r="A4" s="138" t="s">
        <v>3</v>
      </c>
      <c r="B4" s="139"/>
      <c r="C4" s="139"/>
      <c r="D4" s="139"/>
      <c r="E4" s="139"/>
      <c r="F4" s="139"/>
      <c r="G4" s="139"/>
      <c r="H4" s="139"/>
      <c r="I4" s="139"/>
      <c r="J4" s="139"/>
      <c r="K4" s="139"/>
    </row>
    <row r="5" spans="1:11" s="119" customFormat="1" ht="14.25">
      <c r="A5" s="140" t="s">
        <v>4</v>
      </c>
      <c r="B5" s="140"/>
      <c r="C5" s="140"/>
      <c r="D5" s="140"/>
      <c r="E5" s="140"/>
      <c r="F5" s="140"/>
      <c r="G5" s="140"/>
      <c r="H5" s="140"/>
      <c r="I5" s="140"/>
      <c r="J5" s="140"/>
      <c r="K5" s="140"/>
    </row>
    <row r="6" spans="1:11" s="119" customFormat="1" ht="14.25">
      <c r="A6" s="125"/>
      <c r="B6" s="125"/>
      <c r="C6" s="125"/>
      <c r="D6" s="125"/>
      <c r="E6" s="125"/>
      <c r="F6" s="125"/>
      <c r="G6" s="125"/>
      <c r="H6" s="125"/>
      <c r="I6" s="125"/>
      <c r="J6" s="125"/>
      <c r="K6" s="125"/>
    </row>
    <row r="7" spans="1:11" s="119" customFormat="1" ht="12.75">
      <c r="A7" s="72"/>
      <c r="B7" s="123"/>
      <c r="C7" s="123"/>
      <c r="D7" s="123"/>
      <c r="E7" s="120"/>
      <c r="F7" s="121"/>
      <c r="G7" s="120"/>
      <c r="H7" s="120"/>
      <c r="I7" s="120"/>
      <c r="J7" s="120"/>
      <c r="K7" s="120"/>
    </row>
    <row r="8" spans="1:11" s="124" customFormat="1" ht="14.25" customHeight="1">
      <c r="A8" s="131" t="s">
        <v>119</v>
      </c>
      <c r="B8" s="132"/>
      <c r="C8" s="132"/>
      <c r="D8" s="132"/>
      <c r="E8" s="132"/>
      <c r="F8" s="132"/>
      <c r="G8" s="132"/>
      <c r="H8" s="132"/>
      <c r="I8" s="132"/>
      <c r="J8" s="132"/>
      <c r="K8" s="132"/>
    </row>
    <row r="9" spans="1:11" s="119" customFormat="1" ht="9" customHeight="1">
      <c r="A9" s="72"/>
      <c r="B9" s="123"/>
      <c r="C9" s="123"/>
      <c r="D9" s="123"/>
      <c r="E9" s="120"/>
      <c r="F9" s="121"/>
      <c r="G9" s="120"/>
      <c r="H9" s="120"/>
      <c r="I9" s="120"/>
      <c r="J9" s="120"/>
      <c r="K9" s="120"/>
    </row>
    <row r="10" spans="1:11" s="119" customFormat="1" ht="12.75">
      <c r="A10" s="72"/>
      <c r="B10" s="120"/>
      <c r="C10" s="120"/>
      <c r="D10" s="120"/>
      <c r="E10" s="120"/>
      <c r="F10" s="121"/>
      <c r="G10" s="120"/>
      <c r="H10" s="120"/>
      <c r="I10" s="130" t="s">
        <v>6</v>
      </c>
      <c r="J10" s="130"/>
      <c r="K10" s="130"/>
    </row>
    <row r="11" spans="1:11" s="119" customFormat="1" ht="12.75">
      <c r="A11" s="72"/>
      <c r="B11" s="120"/>
      <c r="C11" s="120"/>
      <c r="D11" s="122"/>
      <c r="E11" s="120"/>
      <c r="F11" s="121"/>
      <c r="G11" s="120"/>
      <c r="H11" s="120"/>
      <c r="I11" s="120"/>
      <c r="J11" s="120"/>
      <c r="K11" s="120"/>
    </row>
    <row r="12" spans="1:11" s="113" customFormat="1" ht="12">
      <c r="A12" s="118"/>
      <c r="B12" s="89" t="s">
        <v>7</v>
      </c>
      <c r="C12" s="89" t="s">
        <v>75</v>
      </c>
      <c r="D12" s="89" t="s">
        <v>7</v>
      </c>
      <c r="E12" s="89"/>
      <c r="F12" s="117" t="s">
        <v>8</v>
      </c>
      <c r="G12" s="89" t="s">
        <v>9</v>
      </c>
      <c r="H12" s="89"/>
      <c r="I12" s="89" t="s">
        <v>10</v>
      </c>
      <c r="J12" s="89" t="s">
        <v>83</v>
      </c>
      <c r="K12" s="89" t="s">
        <v>82</v>
      </c>
    </row>
    <row r="13" spans="1:11" s="113" customFormat="1" ht="12">
      <c r="A13" s="116" t="s">
        <v>12</v>
      </c>
      <c r="B13" s="85" t="s">
        <v>13</v>
      </c>
      <c r="C13" s="85" t="s">
        <v>20</v>
      </c>
      <c r="D13" s="85" t="s">
        <v>14</v>
      </c>
      <c r="E13" s="85" t="s">
        <v>15</v>
      </c>
      <c r="F13" s="115" t="s">
        <v>16</v>
      </c>
      <c r="G13" s="85" t="s">
        <v>17</v>
      </c>
      <c r="H13" s="114"/>
      <c r="I13" s="85" t="s">
        <v>18</v>
      </c>
      <c r="J13" s="85" t="s">
        <v>84</v>
      </c>
      <c r="K13" s="85" t="s">
        <v>19</v>
      </c>
    </row>
    <row r="14" ht="12.75">
      <c r="D14" s="96"/>
    </row>
    <row r="15" spans="1:11" ht="12.75">
      <c r="A15" s="72">
        <v>43556</v>
      </c>
      <c r="B15" s="70">
        <v>76014237.74</v>
      </c>
      <c r="C15" s="70">
        <f>779970.45-98952.63</f>
        <v>681017.82</v>
      </c>
      <c r="D15" s="70">
        <f aca="true" t="shared" si="0" ref="D15:D26">IF(ISBLANK(B15),"",B15-C15-E15)</f>
        <v>69513910.01</v>
      </c>
      <c r="E15" s="70">
        <v>5819309.91</v>
      </c>
      <c r="F15" s="71">
        <f>26895/30</f>
        <v>896.5</v>
      </c>
      <c r="G15" s="70">
        <f>_xlfn.IFERROR((E15/F15/30)," ")</f>
        <v>216.37144116006692</v>
      </c>
      <c r="I15" s="70">
        <v>1999886.9</v>
      </c>
      <c r="J15" s="70">
        <v>581930.99</v>
      </c>
      <c r="K15" s="70">
        <v>3237492.0300000003</v>
      </c>
    </row>
    <row r="16" spans="1:11" ht="12.75">
      <c r="A16" s="72">
        <v>43586</v>
      </c>
      <c r="B16" s="70">
        <v>76631873.66</v>
      </c>
      <c r="C16" s="70">
        <f>836114.99-77036</f>
        <v>759078.99</v>
      </c>
      <c r="D16" s="70">
        <f t="shared" si="0"/>
        <v>70070903.13</v>
      </c>
      <c r="E16" s="70">
        <v>5801891.54</v>
      </c>
      <c r="F16" s="71">
        <f>26951/31</f>
        <v>869.3870967741935</v>
      </c>
      <c r="G16" s="70">
        <f>IF(ISBLANK(B16),"",+E16/F16/31)</f>
        <v>215.27555712218472</v>
      </c>
      <c r="I16" s="70">
        <v>1972643.12</v>
      </c>
      <c r="J16" s="70">
        <v>580189.15</v>
      </c>
      <c r="K16" s="70">
        <v>3249059.25</v>
      </c>
    </row>
    <row r="17" spans="1:11" ht="12.75">
      <c r="A17" s="72">
        <v>43617</v>
      </c>
      <c r="B17" s="70">
        <v>75553606.32</v>
      </c>
      <c r="C17" s="70">
        <f>1024291.97-96974.4</f>
        <v>927317.57</v>
      </c>
      <c r="D17" s="70">
        <f t="shared" si="0"/>
        <v>69307693.34</v>
      </c>
      <c r="E17" s="70">
        <v>5318595.41</v>
      </c>
      <c r="F17" s="71">
        <f>27490/30</f>
        <v>916.3333333333334</v>
      </c>
      <c r="G17" s="70">
        <f>IF(ISBLANK(B17),"",+E17/F17/30)</f>
        <v>193.47382357220806</v>
      </c>
      <c r="I17" s="70">
        <v>1808322.44</v>
      </c>
      <c r="J17" s="70">
        <v>531859.57</v>
      </c>
      <c r="K17" s="70">
        <v>2978413.43</v>
      </c>
    </row>
    <row r="18" spans="1:11" ht="12.75">
      <c r="A18" s="72">
        <v>43647</v>
      </c>
      <c r="B18" s="70">
        <v>76625206.26</v>
      </c>
      <c r="C18" s="70">
        <f>1019301.61-95859.9</f>
        <v>923441.71</v>
      </c>
      <c r="D18" s="70">
        <f t="shared" si="0"/>
        <v>70097033.4</v>
      </c>
      <c r="E18" s="70">
        <v>5604731.15</v>
      </c>
      <c r="F18" s="71">
        <f>28799/31</f>
        <v>929</v>
      </c>
      <c r="G18" s="70">
        <f aca="true" t="shared" si="1" ref="G18:G24">IF(ISBLANK(B18),"",+E18/F18/31)</f>
        <v>194.615477967985</v>
      </c>
      <c r="I18" s="70">
        <v>1905608.63</v>
      </c>
      <c r="J18" s="70">
        <v>560473.13</v>
      </c>
      <c r="K18" s="70">
        <v>3138649.44</v>
      </c>
    </row>
    <row r="19" spans="1:11" ht="12.75">
      <c r="A19" s="72">
        <v>43678</v>
      </c>
      <c r="B19" s="70">
        <v>67498931.95</v>
      </c>
      <c r="C19" s="70">
        <v>721477.3999999999</v>
      </c>
      <c r="D19" s="70">
        <f t="shared" si="0"/>
        <v>61881633.04000001</v>
      </c>
      <c r="E19" s="70">
        <v>4895821.509999999</v>
      </c>
      <c r="F19" s="71">
        <f>28799/31</f>
        <v>929</v>
      </c>
      <c r="G19" s="70">
        <f t="shared" si="1"/>
        <v>169.99970519809713</v>
      </c>
      <c r="I19" s="70">
        <v>1664579.3000000003</v>
      </c>
      <c r="J19" s="70">
        <v>489582.16000000003</v>
      </c>
      <c r="K19" s="70">
        <v>2741660.0800000005</v>
      </c>
    </row>
    <row r="20" spans="1:11" ht="12.75">
      <c r="A20" s="72">
        <v>43709</v>
      </c>
      <c r="B20" s="70">
        <v>71482922.80000001</v>
      </c>
      <c r="C20" s="70">
        <v>692193.73</v>
      </c>
      <c r="D20" s="70">
        <f t="shared" si="0"/>
        <v>65508477.58</v>
      </c>
      <c r="E20" s="70">
        <v>5282251.4900000105</v>
      </c>
      <c r="F20" s="71">
        <f>27870/30</f>
        <v>929</v>
      </c>
      <c r="G20" s="70">
        <f>IF(ISBLANK(B20),"",+E20/F20/30)</f>
        <v>189.53180803731647</v>
      </c>
      <c r="I20" s="70">
        <v>1795965.5066000037</v>
      </c>
      <c r="J20" s="70">
        <v>528225.149000001</v>
      </c>
      <c r="K20" s="70">
        <v>2958060.834400006</v>
      </c>
    </row>
    <row r="21" spans="1:11" ht="12.75">
      <c r="A21" s="72">
        <v>43739</v>
      </c>
      <c r="B21" s="70">
        <v>71585821.29</v>
      </c>
      <c r="C21" s="70">
        <v>695141.3200000001</v>
      </c>
      <c r="D21" s="70">
        <f t="shared" si="0"/>
        <v>65680371.91000001</v>
      </c>
      <c r="E21" s="70">
        <v>5210308.0600000005</v>
      </c>
      <c r="F21" s="71">
        <f>28799/31</f>
        <v>929</v>
      </c>
      <c r="G21" s="70">
        <f t="shared" si="1"/>
        <v>180.9197562415362</v>
      </c>
      <c r="I21" s="70">
        <v>1771504.73</v>
      </c>
      <c r="J21" s="70">
        <v>521030.82999999996</v>
      </c>
      <c r="K21" s="70">
        <v>2917772.51</v>
      </c>
    </row>
    <row r="22" spans="1:11" ht="12.75">
      <c r="A22" s="72">
        <v>43770</v>
      </c>
      <c r="B22" s="70">
        <v>72632123.89</v>
      </c>
      <c r="C22" s="70">
        <v>835948.9900000001</v>
      </c>
      <c r="D22" s="70">
        <f t="shared" si="0"/>
        <v>66477865.02</v>
      </c>
      <c r="E22" s="70">
        <v>5318309.88</v>
      </c>
      <c r="F22" s="71">
        <f>27870/30</f>
        <v>929</v>
      </c>
      <c r="G22" s="70">
        <f>IF(ISBLANK(B22),"",+E22/F22/30)</f>
        <v>190.8256146393972</v>
      </c>
      <c r="I22" s="70">
        <v>1808225.3499999999</v>
      </c>
      <c r="J22" s="70">
        <v>531830.98</v>
      </c>
      <c r="K22" s="70">
        <v>2978253.5700000003</v>
      </c>
    </row>
    <row r="23" spans="1:11" ht="12.75">
      <c r="A23" s="72">
        <v>43800</v>
      </c>
      <c r="B23" s="70">
        <v>69397006.67</v>
      </c>
      <c r="C23" s="70">
        <v>628711.4700000001</v>
      </c>
      <c r="D23" s="70">
        <f t="shared" si="0"/>
        <v>63477693.35</v>
      </c>
      <c r="E23" s="70">
        <v>5290601.85</v>
      </c>
      <c r="F23" s="71">
        <f>28799/31</f>
        <v>929</v>
      </c>
      <c r="G23" s="70">
        <f t="shared" si="1"/>
        <v>183.7078318691621</v>
      </c>
      <c r="I23" s="70">
        <v>1798804.6200000003</v>
      </c>
      <c r="J23" s="70">
        <v>529060.2300000003</v>
      </c>
      <c r="K23" s="70">
        <v>2962737.0300000003</v>
      </c>
    </row>
    <row r="24" spans="1:11" ht="12.75">
      <c r="A24" s="72">
        <v>43831</v>
      </c>
      <c r="B24" s="70">
        <v>75021429.71</v>
      </c>
      <c r="C24" s="70">
        <v>705538.03</v>
      </c>
      <c r="D24" s="70">
        <f t="shared" si="0"/>
        <v>68807873.6</v>
      </c>
      <c r="E24" s="70">
        <v>5508018.08</v>
      </c>
      <c r="F24" s="71">
        <f>28799/31</f>
        <v>929</v>
      </c>
      <c r="G24" s="70">
        <f t="shared" si="1"/>
        <v>191.25726865516165</v>
      </c>
      <c r="I24" s="70">
        <v>1872726.14</v>
      </c>
      <c r="J24" s="70">
        <v>550801.82</v>
      </c>
      <c r="K24" s="70">
        <v>3084490.14</v>
      </c>
    </row>
    <row r="25" spans="1:11" ht="12.75">
      <c r="A25" s="72">
        <v>43862</v>
      </c>
      <c r="B25" s="70">
        <v>74592874.65000002</v>
      </c>
      <c r="C25" s="70">
        <v>822843.9600000001</v>
      </c>
      <c r="D25" s="70">
        <f t="shared" si="0"/>
        <v>68276830.55000003</v>
      </c>
      <c r="E25" s="70">
        <v>5493200.14</v>
      </c>
      <c r="F25" s="71">
        <f>26941/29</f>
        <v>929</v>
      </c>
      <c r="G25" s="70">
        <f>IF(ISBLANK(B25),"",+E25/F25/29)</f>
        <v>203.89741063806093</v>
      </c>
      <c r="I25" s="70">
        <v>1867688.0400000003</v>
      </c>
      <c r="J25" s="70">
        <v>549320</v>
      </c>
      <c r="K25" s="70">
        <v>3076192.1</v>
      </c>
    </row>
    <row r="26" spans="1:11" ht="12.75">
      <c r="A26" s="72">
        <v>43891</v>
      </c>
      <c r="B26" s="70">
        <v>37969309.72</v>
      </c>
      <c r="C26" s="70">
        <v>367090.0199999999</v>
      </c>
      <c r="D26" s="70">
        <f t="shared" si="0"/>
        <v>34872669.88999999</v>
      </c>
      <c r="E26" s="70">
        <v>2729549.81</v>
      </c>
      <c r="F26" s="71">
        <f>14864/16</f>
        <v>929</v>
      </c>
      <c r="G26" s="70">
        <f>IF(ISBLANK(B26),"",+E26/F26/16)</f>
        <v>183.6349441603875</v>
      </c>
      <c r="I26" s="70">
        <v>928046.9500000001</v>
      </c>
      <c r="J26" s="70">
        <v>272955.00000000006</v>
      </c>
      <c r="K26" s="70">
        <v>1528547.8800000001</v>
      </c>
    </row>
    <row r="27" spans="1:11" ht="13.5" thickBot="1">
      <c r="A27" s="112" t="s">
        <v>21</v>
      </c>
      <c r="B27" s="108">
        <f>SUM(B15:B26)</f>
        <v>845005344.66</v>
      </c>
      <c r="C27" s="108">
        <f>SUM(C15:C26)</f>
        <v>8759801.01</v>
      </c>
      <c r="D27" s="111">
        <f>SUM(D15:D26)</f>
        <v>773972954.8200002</v>
      </c>
      <c r="E27" s="108">
        <f>SUM(E15:E26)</f>
        <v>62272588.83000001</v>
      </c>
      <c r="F27" s="110">
        <f>_xlfn.IFERROR(AVERAGE(F15:F26),"")</f>
        <v>920.2683691756273</v>
      </c>
      <c r="G27" s="108">
        <f>E27/F27/351</f>
        <v>192.78591868845876</v>
      </c>
      <c r="H27" s="109"/>
      <c r="I27" s="108">
        <f>SUM(I15:I26)</f>
        <v>21194001.726600002</v>
      </c>
      <c r="J27" s="108">
        <f>SUM(J15:J26)</f>
        <v>6227259.0090000015</v>
      </c>
      <c r="K27" s="108">
        <f>SUM(K15:K26)</f>
        <v>34851328.294400014</v>
      </c>
    </row>
    <row r="28" spans="2:11" ht="10.5" customHeight="1" thickTop="1">
      <c r="B28" s="106"/>
      <c r="C28" s="106"/>
      <c r="D28" s="107"/>
      <c r="E28" s="106"/>
      <c r="I28" s="106"/>
      <c r="J28" s="106"/>
      <c r="K28" s="106"/>
    </row>
    <row r="29" spans="1:11" s="102" customFormat="1" ht="12.75">
      <c r="A29" s="105"/>
      <c r="B29" s="103"/>
      <c r="C29" s="104">
        <f>_xlfn.IFERROR(C27/B27,"")</f>
        <v>0.010366562845261803</v>
      </c>
      <c r="D29" s="104">
        <f>_xlfn.IFERROR(D27/B27,"")</f>
        <v>0.915938531881617</v>
      </c>
      <c r="E29" s="103">
        <f>_xlfn.IFERROR(E27/B27,"")</f>
        <v>0.07369490527312142</v>
      </c>
      <c r="I29" s="103">
        <f>_xlfn.IFERROR(I27/$E$27,"")</f>
        <v>0.34034239020411056</v>
      </c>
      <c r="J29" s="103">
        <f>_xlfn.IFERROR(J27/$E$27,"")</f>
        <v>0.10000000202336216</v>
      </c>
      <c r="K29" s="103">
        <f>_xlfn.IFERROR(K27/$E$27,"")</f>
        <v>0.5596576109842133</v>
      </c>
    </row>
    <row r="31" spans="1:11" s="75" customFormat="1" ht="12.75">
      <c r="A31" s="131" t="s">
        <v>22</v>
      </c>
      <c r="B31" s="132"/>
      <c r="C31" s="132"/>
      <c r="D31" s="132"/>
      <c r="E31" s="132"/>
      <c r="F31" s="132"/>
      <c r="G31" s="132"/>
      <c r="H31" s="132"/>
      <c r="I31" s="132"/>
      <c r="J31" s="132"/>
      <c r="K31" s="132"/>
    </row>
    <row r="32" ht="12.75">
      <c r="A32" s="74"/>
    </row>
    <row r="33" spans="1:11" s="64" customFormat="1" ht="12.75" customHeight="1">
      <c r="A33" s="60" t="s">
        <v>23</v>
      </c>
      <c r="B33" s="61"/>
      <c r="C33" s="62" t="s">
        <v>96</v>
      </c>
      <c r="D33" s="63"/>
      <c r="E33" s="63"/>
      <c r="F33" s="63"/>
      <c r="G33" s="63"/>
      <c r="H33" s="63"/>
      <c r="I33" s="63"/>
      <c r="J33" s="63"/>
      <c r="K33" s="63"/>
    </row>
    <row r="34" spans="1:11" s="64" customFormat="1" ht="12.75" customHeight="1">
      <c r="A34" s="60"/>
      <c r="B34" s="61"/>
      <c r="C34" s="62" t="s">
        <v>97</v>
      </c>
      <c r="D34" s="63"/>
      <c r="E34" s="63"/>
      <c r="F34" s="63"/>
      <c r="G34" s="63"/>
      <c r="H34" s="63"/>
      <c r="I34" s="63"/>
      <c r="J34" s="63"/>
      <c r="K34" s="63"/>
    </row>
    <row r="35" spans="1:11" s="95" customFormat="1" ht="6" customHeight="1">
      <c r="A35" s="98"/>
      <c r="B35" s="93"/>
      <c r="C35" s="78"/>
      <c r="E35" s="101"/>
      <c r="F35" s="101"/>
      <c r="G35" s="101"/>
      <c r="H35" s="101"/>
      <c r="I35" s="101"/>
      <c r="J35" s="101"/>
      <c r="K35" s="101"/>
    </row>
    <row r="36" spans="1:11" s="95" customFormat="1" ht="12.75">
      <c r="A36" s="98" t="s">
        <v>99</v>
      </c>
      <c r="B36" s="93"/>
      <c r="C36" s="78" t="s">
        <v>89</v>
      </c>
      <c r="D36" s="96"/>
      <c r="E36" s="96"/>
      <c r="F36" s="78"/>
      <c r="G36" s="78"/>
      <c r="H36" s="78"/>
      <c r="I36" s="78"/>
      <c r="J36" s="93"/>
      <c r="K36" s="93"/>
    </row>
    <row r="37" spans="1:11" s="95" customFormat="1" ht="6" customHeight="1">
      <c r="A37" s="98"/>
      <c r="B37" s="93"/>
      <c r="C37" s="78"/>
      <c r="E37" s="96"/>
      <c r="F37" s="78"/>
      <c r="G37" s="78"/>
      <c r="H37" s="78"/>
      <c r="I37" s="78"/>
      <c r="J37" s="93"/>
      <c r="K37" s="93"/>
    </row>
    <row r="38" spans="1:11" s="95" customFormat="1" ht="12.75">
      <c r="A38" s="98" t="s">
        <v>24</v>
      </c>
      <c r="B38" s="93"/>
      <c r="C38" s="62" t="s">
        <v>103</v>
      </c>
      <c r="E38" s="96"/>
      <c r="F38" s="78"/>
      <c r="G38" s="78"/>
      <c r="H38" s="78"/>
      <c r="I38" s="78"/>
      <c r="J38" s="93"/>
      <c r="K38" s="93"/>
    </row>
    <row r="39" spans="1:11" s="95" customFormat="1" ht="6" customHeight="1">
      <c r="A39" s="98"/>
      <c r="B39" s="93"/>
      <c r="C39" s="78"/>
      <c r="E39" s="96"/>
      <c r="F39" s="78"/>
      <c r="G39" s="78"/>
      <c r="H39" s="78"/>
      <c r="I39" s="78"/>
      <c r="J39" s="93"/>
      <c r="K39" s="93"/>
    </row>
    <row r="40" spans="1:11" s="95" customFormat="1" ht="12.75">
      <c r="A40" s="98" t="s">
        <v>26</v>
      </c>
      <c r="B40" s="93"/>
      <c r="C40" s="93" t="s">
        <v>65</v>
      </c>
      <c r="E40" s="96"/>
      <c r="F40" s="97"/>
      <c r="G40" s="93"/>
      <c r="H40" s="93"/>
      <c r="I40" s="93"/>
      <c r="J40" s="93"/>
      <c r="K40" s="93"/>
    </row>
    <row r="41" spans="1:11" s="95" customFormat="1" ht="12.75">
      <c r="A41" s="98"/>
      <c r="B41" s="93"/>
      <c r="C41" s="93" t="s">
        <v>66</v>
      </c>
      <c r="E41" s="96"/>
      <c r="F41" s="97"/>
      <c r="G41" s="93"/>
      <c r="H41" s="93"/>
      <c r="I41" s="93"/>
      <c r="J41" s="93"/>
      <c r="K41" s="93"/>
    </row>
    <row r="42" spans="1:11" s="95" customFormat="1" ht="6" customHeight="1">
      <c r="A42" s="98"/>
      <c r="B42" s="93"/>
      <c r="C42" s="93"/>
      <c r="E42" s="96"/>
      <c r="F42" s="97"/>
      <c r="G42" s="93"/>
      <c r="H42" s="93"/>
      <c r="I42" s="93"/>
      <c r="J42" s="93"/>
      <c r="K42" s="93"/>
    </row>
    <row r="43" spans="1:11" s="95" customFormat="1" ht="12.75">
      <c r="A43" s="98" t="s">
        <v>29</v>
      </c>
      <c r="B43" s="93"/>
      <c r="C43" s="93" t="s">
        <v>30</v>
      </c>
      <c r="E43" s="96"/>
      <c r="F43" s="97"/>
      <c r="G43" s="93"/>
      <c r="H43" s="93"/>
      <c r="I43" s="93"/>
      <c r="J43" s="93"/>
      <c r="K43" s="93"/>
    </row>
    <row r="44" spans="1:11" s="95" customFormat="1" ht="6" customHeight="1">
      <c r="A44" s="98"/>
      <c r="B44" s="93"/>
      <c r="C44" s="93"/>
      <c r="D44" s="93"/>
      <c r="E44" s="96"/>
      <c r="F44" s="97"/>
      <c r="G44" s="93"/>
      <c r="H44" s="93"/>
      <c r="I44" s="93"/>
      <c r="J44" s="93"/>
      <c r="K44" s="93"/>
    </row>
    <row r="45" spans="1:11" s="95" customFormat="1" ht="12.75">
      <c r="A45" s="98" t="s">
        <v>76</v>
      </c>
      <c r="B45" s="93"/>
      <c r="C45" s="93" t="s">
        <v>105</v>
      </c>
      <c r="D45" s="96"/>
      <c r="E45" s="97"/>
      <c r="F45" s="93"/>
      <c r="G45" s="93"/>
      <c r="H45" s="93"/>
      <c r="I45" s="93"/>
      <c r="J45" s="93"/>
      <c r="K45" s="93"/>
    </row>
    <row r="46" spans="1:11" s="95" customFormat="1" ht="12.75">
      <c r="A46" s="98"/>
      <c r="B46" s="93"/>
      <c r="C46" s="93" t="s">
        <v>85</v>
      </c>
      <c r="D46" s="96"/>
      <c r="E46" s="97"/>
      <c r="F46" s="93"/>
      <c r="G46" s="93"/>
      <c r="H46" s="93"/>
      <c r="I46" s="93"/>
      <c r="J46" s="93"/>
      <c r="K46" s="93"/>
    </row>
    <row r="47" spans="1:11" s="95" customFormat="1" ht="12.75">
      <c r="A47" s="98"/>
      <c r="B47" s="93"/>
      <c r="C47" s="93" t="s">
        <v>86</v>
      </c>
      <c r="D47" s="96"/>
      <c r="E47" s="97"/>
      <c r="F47" s="93"/>
      <c r="G47" s="93"/>
      <c r="H47" s="93"/>
      <c r="I47" s="93"/>
      <c r="J47" s="93"/>
      <c r="K47" s="93"/>
    </row>
    <row r="48" spans="1:11" s="64" customFormat="1" ht="3" customHeight="1">
      <c r="A48" s="60"/>
      <c r="B48" s="61"/>
      <c r="C48" s="61"/>
      <c r="D48" s="127"/>
      <c r="E48" s="128"/>
      <c r="F48" s="61"/>
      <c r="G48" s="61"/>
      <c r="H48" s="61"/>
      <c r="I48" s="61"/>
      <c r="J48" s="61"/>
      <c r="K48" s="61"/>
    </row>
    <row r="49" spans="1:11" s="64" customFormat="1" ht="12.75" customHeight="1">
      <c r="A49" s="60"/>
      <c r="B49" s="61"/>
      <c r="C49" s="62" t="s">
        <v>121</v>
      </c>
      <c r="D49" s="62"/>
      <c r="E49" s="62"/>
      <c r="F49" s="62"/>
      <c r="G49" s="62"/>
      <c r="H49" s="62"/>
      <c r="I49" s="62"/>
      <c r="J49" s="62"/>
      <c r="K49" s="62"/>
    </row>
    <row r="50" spans="1:11" s="64" customFormat="1" ht="12.75">
      <c r="A50" s="60"/>
      <c r="B50" s="61"/>
      <c r="C50" s="62" t="s">
        <v>122</v>
      </c>
      <c r="D50" s="62"/>
      <c r="E50" s="62"/>
      <c r="F50" s="62"/>
      <c r="G50" s="62"/>
      <c r="H50" s="62"/>
      <c r="I50" s="62"/>
      <c r="J50" s="62"/>
      <c r="K50" s="62"/>
    </row>
    <row r="51" spans="1:11" s="64" customFormat="1" ht="12.75">
      <c r="A51" s="60"/>
      <c r="B51" s="61"/>
      <c r="C51" s="62" t="s">
        <v>123</v>
      </c>
      <c r="D51" s="62"/>
      <c r="E51" s="62"/>
      <c r="F51" s="62"/>
      <c r="G51" s="62"/>
      <c r="H51" s="62"/>
      <c r="I51" s="62"/>
      <c r="J51" s="62"/>
      <c r="K51" s="62"/>
    </row>
    <row r="52" spans="1:11" s="95" customFormat="1" ht="6" customHeight="1">
      <c r="A52" s="98"/>
      <c r="B52" s="93"/>
      <c r="C52" s="93"/>
      <c r="D52" s="93"/>
      <c r="E52" s="96"/>
      <c r="F52" s="97"/>
      <c r="G52" s="93"/>
      <c r="H52" s="93"/>
      <c r="I52" s="93"/>
      <c r="J52" s="93"/>
      <c r="K52" s="93"/>
    </row>
    <row r="53" spans="1:11" s="95" customFormat="1" ht="12.75">
      <c r="A53" s="98" t="s">
        <v>88</v>
      </c>
      <c r="B53" s="93"/>
      <c r="C53" s="93" t="s">
        <v>80</v>
      </c>
      <c r="D53" s="96"/>
      <c r="E53" s="97"/>
      <c r="F53" s="93"/>
      <c r="G53" s="93"/>
      <c r="H53" s="93"/>
      <c r="I53" s="93"/>
      <c r="J53" s="93"/>
      <c r="K53" s="93"/>
    </row>
    <row r="54" spans="1:11" s="95" customFormat="1" ht="12.75">
      <c r="A54" s="73"/>
      <c r="B54" s="93"/>
      <c r="C54" s="93" t="s">
        <v>81</v>
      </c>
      <c r="D54" s="96"/>
      <c r="E54" s="97"/>
      <c r="F54" s="93"/>
      <c r="G54" s="93"/>
      <c r="H54" s="93"/>
      <c r="I54" s="93"/>
      <c r="J54" s="93"/>
      <c r="K54" s="93"/>
    </row>
    <row r="55" spans="1:11" ht="12.75">
      <c r="A55" s="94"/>
      <c r="B55" s="91"/>
      <c r="C55" s="91"/>
      <c r="D55" s="93"/>
      <c r="E55" s="91"/>
      <c r="F55" s="92"/>
      <c r="G55" s="91"/>
      <c r="H55" s="91"/>
      <c r="I55" s="91"/>
      <c r="J55" s="91"/>
      <c r="K55" s="91"/>
    </row>
    <row r="56" spans="1:11" s="75" customFormat="1" ht="12.75">
      <c r="A56" s="131" t="s">
        <v>32</v>
      </c>
      <c r="B56" s="132"/>
      <c r="C56" s="132"/>
      <c r="D56" s="132"/>
      <c r="E56" s="132"/>
      <c r="F56" s="132"/>
      <c r="G56" s="132"/>
      <c r="H56" s="132"/>
      <c r="I56" s="132"/>
      <c r="J56" s="132"/>
      <c r="K56" s="132"/>
    </row>
    <row r="57" ht="12.75">
      <c r="A57" s="74"/>
    </row>
    <row r="58" spans="1:11" ht="13.5">
      <c r="A58" s="90"/>
      <c r="D58" s="89" t="s">
        <v>10</v>
      </c>
      <c r="E58" s="89" t="s">
        <v>83</v>
      </c>
      <c r="F58" s="130" t="s">
        <v>90</v>
      </c>
      <c r="G58" s="130"/>
      <c r="H58" s="130"/>
      <c r="I58" s="130"/>
      <c r="J58" s="114"/>
      <c r="K58" s="69"/>
    </row>
    <row r="59" spans="1:11" ht="12.75">
      <c r="A59" s="88"/>
      <c r="D59" s="85" t="s">
        <v>18</v>
      </c>
      <c r="E59" s="85" t="s">
        <v>84</v>
      </c>
      <c r="F59" s="85" t="s">
        <v>91</v>
      </c>
      <c r="G59" s="87" t="s">
        <v>92</v>
      </c>
      <c r="H59" s="86"/>
      <c r="I59" s="85" t="s">
        <v>93</v>
      </c>
      <c r="J59" s="114"/>
      <c r="K59" s="69"/>
    </row>
    <row r="60" spans="2:11" ht="12.75">
      <c r="B60" s="80"/>
      <c r="C60" s="80"/>
      <c r="D60" s="81">
        <v>0.34</v>
      </c>
      <c r="E60" s="81">
        <v>0.1</v>
      </c>
      <c r="F60" s="81">
        <v>0.46</v>
      </c>
      <c r="G60" s="83">
        <v>0.0875</v>
      </c>
      <c r="H60" s="82"/>
      <c r="I60" s="81">
        <v>0.0125</v>
      </c>
      <c r="J60" s="126"/>
      <c r="K60" s="69"/>
    </row>
    <row r="61" spans="2:11" ht="12.75">
      <c r="B61" s="80"/>
      <c r="C61" s="80"/>
      <c r="D61" s="80"/>
      <c r="E61" s="78"/>
      <c r="F61" s="79"/>
      <c r="G61" s="77"/>
      <c r="H61" s="78"/>
      <c r="I61" s="77"/>
      <c r="J61" s="77"/>
      <c r="K61" s="77"/>
    </row>
    <row r="62" spans="1:11" s="75" customFormat="1" ht="12.75">
      <c r="A62" s="133" t="s">
        <v>46</v>
      </c>
      <c r="B62" s="134"/>
      <c r="C62" s="134"/>
      <c r="D62" s="134"/>
      <c r="E62" s="134"/>
      <c r="F62" s="134"/>
      <c r="G62" s="134"/>
      <c r="H62" s="134"/>
      <c r="I62" s="134"/>
      <c r="J62" s="134"/>
      <c r="K62" s="134"/>
    </row>
    <row r="63" spans="1:6" ht="10.5" customHeight="1">
      <c r="A63" s="74"/>
      <c r="E63" s="69"/>
      <c r="F63" s="70"/>
    </row>
    <row r="64" spans="1:11" ht="51.75" customHeight="1">
      <c r="A64" s="135" t="s">
        <v>120</v>
      </c>
      <c r="B64" s="135"/>
      <c r="C64" s="135"/>
      <c r="D64" s="135"/>
      <c r="E64" s="135"/>
      <c r="F64" s="135"/>
      <c r="G64" s="135"/>
      <c r="H64" s="135"/>
      <c r="I64" s="135"/>
      <c r="J64" s="135"/>
      <c r="K64" s="135"/>
    </row>
    <row r="65" spans="1:6" ht="12.75">
      <c r="A65" s="70"/>
      <c r="E65" s="69"/>
      <c r="F65" s="70"/>
    </row>
    <row r="66" spans="2:5" ht="12.75">
      <c r="B66" s="74" t="s">
        <v>47</v>
      </c>
      <c r="C66" s="74"/>
      <c r="D66" s="74"/>
      <c r="E66" s="70">
        <v>865679</v>
      </c>
    </row>
    <row r="67" spans="2:5" ht="12.75">
      <c r="B67" s="74" t="s">
        <v>48</v>
      </c>
      <c r="C67" s="74"/>
      <c r="D67" s="74"/>
      <c r="E67" s="70">
        <v>288560</v>
      </c>
    </row>
    <row r="68" spans="2:5" ht="7.5" customHeight="1">
      <c r="B68" s="70" t="s">
        <v>33</v>
      </c>
      <c r="E68" s="70" t="s">
        <v>33</v>
      </c>
    </row>
    <row r="69" ht="12.75">
      <c r="E69" s="70" t="s">
        <v>33</v>
      </c>
    </row>
    <row r="70" ht="12.75">
      <c r="A70" s="73" t="s">
        <v>100</v>
      </c>
    </row>
  </sheetData>
  <sheetProtection/>
  <mergeCells count="12">
    <mergeCell ref="A1:K1"/>
    <mergeCell ref="A2:K2"/>
    <mergeCell ref="A3:K3"/>
    <mergeCell ref="A4:K4"/>
    <mergeCell ref="A5:K5"/>
    <mergeCell ref="A8:K8"/>
    <mergeCell ref="I10:K10"/>
    <mergeCell ref="A31:K31"/>
    <mergeCell ref="A56:K56"/>
    <mergeCell ref="F58:I58"/>
    <mergeCell ref="A62:K62"/>
    <mergeCell ref="A64:K64"/>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82" r:id="rId3"/>
  <ignoredErrors>
    <ignoredError sqref="G17:G24" formula="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A1:M74"/>
  <sheetViews>
    <sheetView zoomScalePageLayoutView="0" workbookViewId="0" topLeftCell="A1">
      <selection activeCell="A28" sqref="A28"/>
    </sheetView>
  </sheetViews>
  <sheetFormatPr defaultColWidth="9.140625" defaultRowHeight="12.75"/>
  <cols>
    <col min="1" max="1" width="9.28125" style="72" customWidth="1"/>
    <col min="2" max="2" width="14.140625" style="70" customWidth="1"/>
    <col min="3" max="3" width="13.421875" style="70" customWidth="1"/>
    <col min="4" max="4" width="14.140625" style="70" customWidth="1"/>
    <col min="5" max="5" width="12.7109375" style="70" customWidth="1"/>
    <col min="6" max="6" width="8.8515625" style="71" customWidth="1"/>
    <col min="7" max="7" width="10.28125" style="70" customWidth="1"/>
    <col min="8" max="8" width="1.421875" style="70" customWidth="1"/>
    <col min="9" max="13" width="13.00390625" style="70" customWidth="1"/>
    <col min="14" max="14" width="12.7109375" style="69" customWidth="1"/>
    <col min="15" max="16384" width="9.140625" style="69" customWidth="1"/>
  </cols>
  <sheetData>
    <row r="1" spans="1:13" ht="18">
      <c r="A1" s="136" t="s">
        <v>102</v>
      </c>
      <c r="B1" s="136"/>
      <c r="C1" s="136"/>
      <c r="D1" s="136"/>
      <c r="E1" s="136"/>
      <c r="F1" s="136"/>
      <c r="G1" s="136"/>
      <c r="H1" s="136"/>
      <c r="I1" s="136"/>
      <c r="J1" s="136"/>
      <c r="K1" s="136"/>
      <c r="L1" s="136"/>
      <c r="M1" s="136"/>
    </row>
    <row r="2" spans="1:13" ht="15">
      <c r="A2" s="137" t="s">
        <v>1</v>
      </c>
      <c r="B2" s="137"/>
      <c r="C2" s="137"/>
      <c r="D2" s="137"/>
      <c r="E2" s="137"/>
      <c r="F2" s="137"/>
      <c r="G2" s="137"/>
      <c r="H2" s="137"/>
      <c r="I2" s="137"/>
      <c r="J2" s="137"/>
      <c r="K2" s="137"/>
      <c r="L2" s="137"/>
      <c r="M2" s="137"/>
    </row>
    <row r="3" spans="1:13" s="119" customFormat="1" ht="15">
      <c r="A3" s="137" t="s">
        <v>2</v>
      </c>
      <c r="B3" s="137"/>
      <c r="C3" s="137"/>
      <c r="D3" s="137"/>
      <c r="E3" s="137"/>
      <c r="F3" s="137"/>
      <c r="G3" s="137"/>
      <c r="H3" s="137"/>
      <c r="I3" s="137"/>
      <c r="J3" s="137"/>
      <c r="K3" s="137"/>
      <c r="L3" s="137"/>
      <c r="M3" s="137"/>
    </row>
    <row r="4" spans="1:13" s="119" customFormat="1" ht="12.75">
      <c r="A4" s="138" t="s">
        <v>3</v>
      </c>
      <c r="B4" s="139"/>
      <c r="C4" s="139"/>
      <c r="D4" s="139"/>
      <c r="E4" s="139"/>
      <c r="F4" s="139"/>
      <c r="G4" s="139"/>
      <c r="H4" s="139"/>
      <c r="I4" s="139"/>
      <c r="J4" s="139"/>
      <c r="K4" s="139"/>
      <c r="L4" s="139"/>
      <c r="M4" s="139"/>
    </row>
    <row r="5" spans="1:13" s="119" customFormat="1" ht="14.25">
      <c r="A5" s="140" t="s">
        <v>4</v>
      </c>
      <c r="B5" s="140"/>
      <c r="C5" s="140"/>
      <c r="D5" s="140"/>
      <c r="E5" s="140"/>
      <c r="F5" s="140"/>
      <c r="G5" s="140"/>
      <c r="H5" s="140"/>
      <c r="I5" s="140"/>
      <c r="J5" s="140"/>
      <c r="K5" s="140"/>
      <c r="L5" s="140"/>
      <c r="M5" s="140"/>
    </row>
    <row r="6" spans="1:13" s="119" customFormat="1" ht="14.25">
      <c r="A6" s="125"/>
      <c r="B6" s="125"/>
      <c r="C6" s="125"/>
      <c r="D6" s="125"/>
      <c r="E6" s="125"/>
      <c r="F6" s="125"/>
      <c r="G6" s="125"/>
      <c r="H6" s="125"/>
      <c r="I6" s="125"/>
      <c r="J6" s="125"/>
      <c r="K6" s="125"/>
      <c r="L6" s="125"/>
      <c r="M6" s="125"/>
    </row>
    <row r="7" spans="1:13" s="119" customFormat="1" ht="12.75">
      <c r="A7" s="72"/>
      <c r="B7" s="123"/>
      <c r="C7" s="123"/>
      <c r="D7" s="123"/>
      <c r="E7" s="120"/>
      <c r="F7" s="121"/>
      <c r="G7" s="120"/>
      <c r="H7" s="120"/>
      <c r="I7" s="120"/>
      <c r="J7" s="120"/>
      <c r="K7" s="120"/>
      <c r="L7" s="120"/>
      <c r="M7" s="120"/>
    </row>
    <row r="8" spans="1:13" s="124" customFormat="1" ht="14.25" customHeight="1">
      <c r="A8" s="131" t="s">
        <v>118</v>
      </c>
      <c r="B8" s="132"/>
      <c r="C8" s="132"/>
      <c r="D8" s="132"/>
      <c r="E8" s="132"/>
      <c r="F8" s="132"/>
      <c r="G8" s="132"/>
      <c r="H8" s="132"/>
      <c r="I8" s="132"/>
      <c r="J8" s="132"/>
      <c r="K8" s="132"/>
      <c r="L8" s="132"/>
      <c r="M8" s="141"/>
    </row>
    <row r="9" spans="1:13" s="119" customFormat="1" ht="9" customHeight="1">
      <c r="A9" s="72"/>
      <c r="B9" s="123"/>
      <c r="C9" s="123"/>
      <c r="D9" s="123"/>
      <c r="E9" s="120"/>
      <c r="F9" s="121"/>
      <c r="G9" s="120"/>
      <c r="H9" s="120"/>
      <c r="I9" s="120"/>
      <c r="J9" s="120"/>
      <c r="K9" s="120"/>
      <c r="L9" s="120"/>
      <c r="M9" s="120"/>
    </row>
    <row r="10" spans="1:13" s="119" customFormat="1" ht="12.75">
      <c r="A10" s="72"/>
      <c r="B10" s="120"/>
      <c r="C10" s="120"/>
      <c r="D10" s="120"/>
      <c r="E10" s="120"/>
      <c r="F10" s="121"/>
      <c r="G10" s="120"/>
      <c r="H10" s="120"/>
      <c r="I10" s="130" t="s">
        <v>6</v>
      </c>
      <c r="J10" s="130"/>
      <c r="K10" s="130"/>
      <c r="L10" s="130"/>
      <c r="M10" s="130"/>
    </row>
    <row r="11" spans="1:13" s="119" customFormat="1" ht="12.75">
      <c r="A11" s="72"/>
      <c r="B11" s="120"/>
      <c r="C11" s="120"/>
      <c r="D11" s="122"/>
      <c r="E11" s="120"/>
      <c r="F11" s="121"/>
      <c r="G11" s="120"/>
      <c r="H11" s="120"/>
      <c r="I11" s="120"/>
      <c r="J11" s="120"/>
      <c r="K11" s="120"/>
      <c r="L11" s="120"/>
      <c r="M11" s="120"/>
    </row>
    <row r="12" spans="1:13" s="113" customFormat="1" ht="12">
      <c r="A12" s="118"/>
      <c r="B12" s="89" t="s">
        <v>7</v>
      </c>
      <c r="C12" s="89" t="s">
        <v>75</v>
      </c>
      <c r="D12" s="89" t="s">
        <v>7</v>
      </c>
      <c r="E12" s="89"/>
      <c r="F12" s="117" t="s">
        <v>8</v>
      </c>
      <c r="G12" s="89" t="s">
        <v>9</v>
      </c>
      <c r="H12" s="89"/>
      <c r="I12" s="89" t="s">
        <v>10</v>
      </c>
      <c r="J12" s="89" t="s">
        <v>82</v>
      </c>
      <c r="K12" s="89" t="s">
        <v>11</v>
      </c>
      <c r="L12" s="89" t="s">
        <v>83</v>
      </c>
      <c r="M12" s="89" t="s">
        <v>51</v>
      </c>
    </row>
    <row r="13" spans="1:13" s="113" customFormat="1" ht="12">
      <c r="A13" s="116" t="s">
        <v>12</v>
      </c>
      <c r="B13" s="85" t="s">
        <v>13</v>
      </c>
      <c r="C13" s="85" t="s">
        <v>20</v>
      </c>
      <c r="D13" s="85" t="s">
        <v>14</v>
      </c>
      <c r="E13" s="85" t="s">
        <v>15</v>
      </c>
      <c r="F13" s="115" t="s">
        <v>16</v>
      </c>
      <c r="G13" s="85" t="s">
        <v>17</v>
      </c>
      <c r="H13" s="114"/>
      <c r="I13" s="85" t="s">
        <v>18</v>
      </c>
      <c r="J13" s="85" t="s">
        <v>19</v>
      </c>
      <c r="K13" s="85" t="s">
        <v>20</v>
      </c>
      <c r="L13" s="85" t="s">
        <v>84</v>
      </c>
      <c r="M13" s="85" t="s">
        <v>52</v>
      </c>
    </row>
    <row r="14" ht="12.75">
      <c r="D14" s="96"/>
    </row>
    <row r="15" spans="1:13" ht="12.75">
      <c r="A15" s="72">
        <v>43191</v>
      </c>
      <c r="B15" s="70">
        <v>70869423.6</v>
      </c>
      <c r="C15" s="70">
        <f>783002.28-16969.5</f>
        <v>766032.78</v>
      </c>
      <c r="D15" s="70">
        <f aca="true" t="shared" si="0" ref="D15:D26">IF(ISBLANK(B15),"",B15-C15-E15)</f>
        <v>65036023.129999995</v>
      </c>
      <c r="E15" s="70">
        <v>5067367.69</v>
      </c>
      <c r="F15" s="71">
        <f>26940/30</f>
        <v>898</v>
      </c>
      <c r="G15" s="70">
        <f>E15/F15/30</f>
        <v>188.09828099480328</v>
      </c>
      <c r="I15" s="70">
        <v>1773578.7</v>
      </c>
      <c r="J15" s="70">
        <v>2077620.75</v>
      </c>
      <c r="K15" s="70">
        <v>506736.75</v>
      </c>
      <c r="L15" s="70">
        <v>506736.76</v>
      </c>
      <c r="M15" s="70">
        <v>202694.71</v>
      </c>
    </row>
    <row r="16" spans="1:13" ht="12.75">
      <c r="A16" s="72">
        <v>43221</v>
      </c>
      <c r="B16" s="70">
        <v>70791721.48</v>
      </c>
      <c r="C16" s="70">
        <f>719172.81-24038.12</f>
        <v>695134.6900000001</v>
      </c>
      <c r="D16" s="70">
        <f t="shared" si="0"/>
        <v>65035714.49000001</v>
      </c>
      <c r="E16" s="70">
        <v>5060872.3</v>
      </c>
      <c r="F16" s="71">
        <f>27838/31</f>
        <v>898</v>
      </c>
      <c r="G16" s="70">
        <f>IF(ISBLANK(B16),"",+E16/F16/31)</f>
        <v>181.7972663266039</v>
      </c>
      <c r="I16" s="70">
        <v>1771305.29</v>
      </c>
      <c r="J16" s="70">
        <v>2074957.63</v>
      </c>
      <c r="K16" s="70">
        <v>506087.23</v>
      </c>
      <c r="L16" s="70">
        <v>506087.23</v>
      </c>
      <c r="M16" s="70">
        <v>202434.91</v>
      </c>
    </row>
    <row r="17" spans="1:13" ht="12.75">
      <c r="A17" s="72">
        <v>43252</v>
      </c>
      <c r="B17" s="70">
        <v>72431333.03</v>
      </c>
      <c r="C17" s="70">
        <f>824772.45-157592.2</f>
        <v>667180.25</v>
      </c>
      <c r="D17" s="70">
        <f t="shared" si="0"/>
        <v>66440336.53</v>
      </c>
      <c r="E17" s="70">
        <v>5323816.25</v>
      </c>
      <c r="F17" s="71">
        <f>26940/30</f>
        <v>898</v>
      </c>
      <c r="G17" s="70">
        <f>IF(ISBLANK(B17),"",+E17/F17/30)</f>
        <v>197.61752969561988</v>
      </c>
      <c r="I17" s="70">
        <v>1863335.73</v>
      </c>
      <c r="J17" s="70">
        <v>2182764.65</v>
      </c>
      <c r="K17" s="70">
        <v>532381.63</v>
      </c>
      <c r="L17" s="70">
        <v>532381.62</v>
      </c>
      <c r="M17" s="70">
        <v>212952.63</v>
      </c>
    </row>
    <row r="18" spans="1:13" ht="12.75">
      <c r="A18" s="72">
        <v>43282</v>
      </c>
      <c r="B18" s="70">
        <v>75200674.41</v>
      </c>
      <c r="C18" s="70">
        <f>1117314.64-38445</f>
        <v>1078869.64</v>
      </c>
      <c r="D18" s="70">
        <f t="shared" si="0"/>
        <v>68748577.49</v>
      </c>
      <c r="E18" s="70">
        <v>5373227.28</v>
      </c>
      <c r="F18" s="71">
        <f>27838/31</f>
        <v>898</v>
      </c>
      <c r="G18" s="70">
        <f aca="true" t="shared" si="1" ref="G18:G26">IF(ISBLANK(B18),"",+E18/F18/31)</f>
        <v>193.01771966376896</v>
      </c>
      <c r="I18" s="70">
        <v>1880629.52</v>
      </c>
      <c r="J18" s="70">
        <v>2203023.18</v>
      </c>
      <c r="K18" s="70">
        <v>537322.73</v>
      </c>
      <c r="L18" s="70">
        <v>537322.75</v>
      </c>
      <c r="M18" s="70">
        <v>214929.07</v>
      </c>
    </row>
    <row r="19" spans="1:13" ht="12.75">
      <c r="A19" s="72">
        <v>43313</v>
      </c>
      <c r="B19" s="70">
        <v>63793317.42</v>
      </c>
      <c r="C19" s="70">
        <v>946828.55</v>
      </c>
      <c r="D19" s="70">
        <f t="shared" si="0"/>
        <v>58343624.970000006</v>
      </c>
      <c r="E19" s="70">
        <v>4502863.9</v>
      </c>
      <c r="F19" s="71">
        <f>27838/31</f>
        <v>898</v>
      </c>
      <c r="G19" s="70">
        <f t="shared" si="1"/>
        <v>161.75242115094474</v>
      </c>
      <c r="I19" s="70">
        <v>1576002.36</v>
      </c>
      <c r="J19" s="70">
        <v>1846174.17</v>
      </c>
      <c r="K19" s="70">
        <v>450286.41</v>
      </c>
      <c r="L19" s="70">
        <v>450286.41</v>
      </c>
      <c r="M19" s="70">
        <v>180114.56</v>
      </c>
    </row>
    <row r="20" spans="1:13" ht="12.75">
      <c r="A20" s="72">
        <v>43344</v>
      </c>
      <c r="B20" s="70">
        <v>68747644.99</v>
      </c>
      <c r="C20" s="70">
        <f>1115000.66-86379.95</f>
        <v>1028620.71</v>
      </c>
      <c r="D20" s="70">
        <f t="shared" si="0"/>
        <v>63070686.230000004</v>
      </c>
      <c r="E20" s="70">
        <v>4648338.05</v>
      </c>
      <c r="F20" s="71">
        <f>26940/30</f>
        <v>898</v>
      </c>
      <c r="G20" s="70">
        <f>IF(ISBLANK(B20),"",+E20/F20/30)</f>
        <v>172.5440998515219</v>
      </c>
      <c r="I20" s="70">
        <v>1626918.32</v>
      </c>
      <c r="J20" s="70">
        <v>1905818.59</v>
      </c>
      <c r="K20" s="70">
        <v>464833.84</v>
      </c>
      <c r="L20" s="70">
        <v>464833.84</v>
      </c>
      <c r="M20" s="70">
        <v>185933.51</v>
      </c>
    </row>
    <row r="21" spans="1:13" ht="12.75">
      <c r="A21" s="72">
        <v>43374</v>
      </c>
      <c r="B21" s="70">
        <v>65029456.84</v>
      </c>
      <c r="C21" s="70">
        <f>735139.55-149384.91</f>
        <v>585754.64</v>
      </c>
      <c r="D21" s="70">
        <f t="shared" si="0"/>
        <v>59768286.61</v>
      </c>
      <c r="E21" s="70">
        <v>4675415.59</v>
      </c>
      <c r="F21" s="71">
        <f>27838/31</f>
        <v>898</v>
      </c>
      <c r="G21" s="70">
        <f t="shared" si="1"/>
        <v>167.95084381061858</v>
      </c>
      <c r="I21" s="70">
        <v>1636395.45</v>
      </c>
      <c r="J21" s="70">
        <v>1916920.38</v>
      </c>
      <c r="K21" s="70">
        <v>467541.57</v>
      </c>
      <c r="L21" s="70">
        <v>467541.57</v>
      </c>
      <c r="M21" s="70">
        <v>187016.63</v>
      </c>
    </row>
    <row r="22" spans="1:13" ht="12.75">
      <c r="A22" s="72">
        <v>43405</v>
      </c>
      <c r="B22" s="70">
        <v>61088644.37</v>
      </c>
      <c r="C22" s="70">
        <f>682086.9-229509.5</f>
        <v>452577.4</v>
      </c>
      <c r="D22" s="70">
        <f t="shared" si="0"/>
        <v>55977274.339999996</v>
      </c>
      <c r="E22" s="70">
        <v>4658792.63</v>
      </c>
      <c r="F22" s="71">
        <f>26940/30</f>
        <v>898</v>
      </c>
      <c r="G22" s="70">
        <f>IF(ISBLANK(B22),"",+E22/F22/30)</f>
        <v>172.93216889383814</v>
      </c>
      <c r="I22" s="70">
        <v>1630577.43</v>
      </c>
      <c r="J22" s="70">
        <v>1910104.95</v>
      </c>
      <c r="K22" s="70">
        <v>465879.32</v>
      </c>
      <c r="L22" s="70">
        <v>465879.32</v>
      </c>
      <c r="M22" s="70">
        <v>186351.71</v>
      </c>
    </row>
    <row r="23" spans="1:13" ht="12.75">
      <c r="A23" s="72">
        <v>43435</v>
      </c>
      <c r="B23" s="70">
        <v>68783274.33</v>
      </c>
      <c r="C23" s="70">
        <f>650321.14-91635</f>
        <v>558686.14</v>
      </c>
      <c r="D23" s="70">
        <f t="shared" si="0"/>
        <v>63051020.03</v>
      </c>
      <c r="E23" s="70">
        <v>5173568.16</v>
      </c>
      <c r="F23" s="71">
        <f>27838/31</f>
        <v>898</v>
      </c>
      <c r="G23" s="70">
        <f t="shared" si="1"/>
        <v>185.8455406279187</v>
      </c>
      <c r="I23" s="70">
        <v>1810748.86</v>
      </c>
      <c r="J23" s="70">
        <v>2121162.95</v>
      </c>
      <c r="K23" s="70">
        <v>517356.81</v>
      </c>
      <c r="L23" s="70">
        <v>517356.81</v>
      </c>
      <c r="M23" s="70">
        <v>206942.75</v>
      </c>
    </row>
    <row r="24" spans="1:13" ht="12.75">
      <c r="A24" s="72">
        <v>43466</v>
      </c>
      <c r="B24" s="70">
        <v>57277266.55</v>
      </c>
      <c r="C24" s="70">
        <f>694510.39-93160</f>
        <v>601350.39</v>
      </c>
      <c r="D24" s="70">
        <f t="shared" si="0"/>
        <v>52286908.919999994</v>
      </c>
      <c r="E24" s="70">
        <v>4389007.24</v>
      </c>
      <c r="F24" s="71">
        <f>27838/31</f>
        <v>898</v>
      </c>
      <c r="G24" s="70">
        <f t="shared" si="1"/>
        <v>157.6624484517566</v>
      </c>
      <c r="I24" s="70">
        <v>1536152.52</v>
      </c>
      <c r="J24" s="70">
        <v>1799492.99</v>
      </c>
      <c r="K24" s="70">
        <v>438900.71</v>
      </c>
      <c r="L24" s="70">
        <v>438900.74</v>
      </c>
      <c r="M24" s="70">
        <v>175560.28</v>
      </c>
    </row>
    <row r="25" spans="1:13" ht="12.75">
      <c r="A25" s="72">
        <v>43497</v>
      </c>
      <c r="B25" s="70">
        <v>64235978.19</v>
      </c>
      <c r="C25" s="70">
        <f>706214.81-76399.6</f>
        <v>629815.2100000001</v>
      </c>
      <c r="D25" s="70">
        <f t="shared" si="0"/>
        <v>58797397.56999999</v>
      </c>
      <c r="E25" s="70">
        <v>4808765.41</v>
      </c>
      <c r="F25" s="71">
        <f>25144/28</f>
        <v>898</v>
      </c>
      <c r="G25" s="70">
        <f>IF(ISBLANK(B25),"",+E25/F25/28)</f>
        <v>191.2490220330894</v>
      </c>
      <c r="I25" s="70">
        <v>1683067.89</v>
      </c>
      <c r="J25" s="70">
        <v>1971593.82</v>
      </c>
      <c r="K25" s="70">
        <v>480876.58</v>
      </c>
      <c r="L25" s="70">
        <v>480876.58</v>
      </c>
      <c r="M25" s="70">
        <v>192350.62</v>
      </c>
    </row>
    <row r="26" spans="1:13" ht="12.75">
      <c r="A26" s="72">
        <v>43525</v>
      </c>
      <c r="B26" s="70">
        <v>79762360.46</v>
      </c>
      <c r="C26" s="70">
        <f>786643.95-77144.4</f>
        <v>709499.5499999999</v>
      </c>
      <c r="D26" s="70">
        <f t="shared" si="0"/>
        <v>73210045.47</v>
      </c>
      <c r="E26" s="70">
        <v>5842815.44</v>
      </c>
      <c r="F26" s="71">
        <f>27838/31</f>
        <v>898</v>
      </c>
      <c r="G26" s="70">
        <f t="shared" si="1"/>
        <v>209.8863222932682</v>
      </c>
      <c r="I26" s="70">
        <v>2044985.42</v>
      </c>
      <c r="J26" s="70">
        <v>2395554.31</v>
      </c>
      <c r="K26" s="70">
        <v>584281.56</v>
      </c>
      <c r="L26" s="70">
        <v>584281.56</v>
      </c>
      <c r="M26" s="70">
        <v>233712.62</v>
      </c>
    </row>
    <row r="27" spans="1:13" ht="13.5" thickBot="1">
      <c r="A27" s="112" t="s">
        <v>21</v>
      </c>
      <c r="B27" s="108">
        <f>SUM(B15:B26)</f>
        <v>818011095.6700001</v>
      </c>
      <c r="C27" s="108">
        <f>SUM(C15:C26)</f>
        <v>8720349.95</v>
      </c>
      <c r="D27" s="111">
        <f>SUM(D15:D26)</f>
        <v>749765895.78</v>
      </c>
      <c r="E27" s="108">
        <f>SUM(E15:E26)</f>
        <v>59524849.94000001</v>
      </c>
      <c r="F27" s="110">
        <f>AVERAGE(F15:F26)</f>
        <v>898</v>
      </c>
      <c r="G27" s="108">
        <f>AVERAGE(G15:G26)</f>
        <v>181.6961386494793</v>
      </c>
      <c r="H27" s="109"/>
      <c r="I27" s="108">
        <f>SUM(I15:I26)</f>
        <v>20833697.490000002</v>
      </c>
      <c r="J27" s="108">
        <f>SUM(J15:J26)</f>
        <v>24405188.369999994</v>
      </c>
      <c r="K27" s="108">
        <f>SUM(K15:K26)</f>
        <v>5952485.139999999</v>
      </c>
      <c r="L27" s="108">
        <f>SUM(L15:L26)</f>
        <v>5952485.1899999995</v>
      </c>
      <c r="M27" s="108">
        <f>SUM(M15:M26)</f>
        <v>2380994</v>
      </c>
    </row>
    <row r="28" spans="2:13" ht="10.5" customHeight="1" thickTop="1">
      <c r="B28" s="106"/>
      <c r="C28" s="106"/>
      <c r="D28" s="107"/>
      <c r="E28" s="106"/>
      <c r="I28" s="106"/>
      <c r="J28" s="106"/>
      <c r="K28" s="106"/>
      <c r="L28" s="106"/>
      <c r="M28" s="106"/>
    </row>
    <row r="29" spans="1:13" s="102" customFormat="1" ht="12.75">
      <c r="A29" s="105"/>
      <c r="B29" s="103"/>
      <c r="C29" s="104">
        <f>C27/B27</f>
        <v>0.010660429908786885</v>
      </c>
      <c r="D29" s="104">
        <f>D27/B27</f>
        <v>0.9165717919338207</v>
      </c>
      <c r="E29" s="103">
        <f>E27/B27</f>
        <v>0.07276777815739234</v>
      </c>
      <c r="I29" s="103">
        <f>I27/$E$27</f>
        <v>0.3500000001847967</v>
      </c>
      <c r="J29" s="103">
        <f>J27/$E$27</f>
        <v>0.40999999822931077</v>
      </c>
      <c r="K29" s="103">
        <f>K27/$E$27</f>
        <v>0.10000000245275709</v>
      </c>
      <c r="L29" s="103">
        <f>L27/$E$27</f>
        <v>0.10000000329274242</v>
      </c>
      <c r="M29" s="103">
        <f>M27/$E$27</f>
        <v>0.04000000004031928</v>
      </c>
    </row>
    <row r="31" spans="1:13" s="75" customFormat="1" ht="12.75">
      <c r="A31" s="131" t="s">
        <v>22</v>
      </c>
      <c r="B31" s="132"/>
      <c r="C31" s="132"/>
      <c r="D31" s="132"/>
      <c r="E31" s="132"/>
      <c r="F31" s="132"/>
      <c r="G31" s="132"/>
      <c r="H31" s="132"/>
      <c r="I31" s="132"/>
      <c r="J31" s="132"/>
      <c r="K31" s="132"/>
      <c r="L31" s="132"/>
      <c r="M31" s="141"/>
    </row>
    <row r="32" ht="12.75">
      <c r="A32" s="74"/>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3" s="95" customFormat="1" ht="6" customHeight="1">
      <c r="A35" s="98"/>
      <c r="B35" s="93"/>
      <c r="C35" s="78"/>
      <c r="E35" s="101"/>
      <c r="F35" s="101"/>
      <c r="G35" s="101"/>
      <c r="H35" s="101"/>
      <c r="I35" s="101"/>
      <c r="J35" s="101"/>
      <c r="K35" s="101"/>
      <c r="L35" s="101"/>
      <c r="M35" s="101"/>
    </row>
    <row r="36" spans="1:13" s="95" customFormat="1" ht="12.75">
      <c r="A36" s="98" t="s">
        <v>99</v>
      </c>
      <c r="B36" s="93"/>
      <c r="C36" s="78" t="s">
        <v>89</v>
      </c>
      <c r="D36" s="96"/>
      <c r="E36" s="96"/>
      <c r="F36" s="78"/>
      <c r="G36" s="78"/>
      <c r="H36" s="78"/>
      <c r="I36" s="78"/>
      <c r="J36" s="93"/>
      <c r="K36" s="93"/>
      <c r="L36" s="93"/>
      <c r="M36" s="93"/>
    </row>
    <row r="37" spans="1:13" s="95" customFormat="1" ht="6" customHeight="1">
      <c r="A37" s="98"/>
      <c r="B37" s="93"/>
      <c r="C37" s="78"/>
      <c r="E37" s="96"/>
      <c r="F37" s="78"/>
      <c r="G37" s="78"/>
      <c r="H37" s="78"/>
      <c r="I37" s="78"/>
      <c r="J37" s="93"/>
      <c r="K37" s="93"/>
      <c r="L37" s="93"/>
      <c r="M37" s="93"/>
    </row>
    <row r="38" spans="1:13" s="95" customFormat="1" ht="12.75">
      <c r="A38" s="98" t="s">
        <v>24</v>
      </c>
      <c r="B38" s="93"/>
      <c r="C38" s="62" t="s">
        <v>103</v>
      </c>
      <c r="E38" s="96"/>
      <c r="F38" s="78"/>
      <c r="G38" s="78"/>
      <c r="H38" s="78"/>
      <c r="I38" s="78"/>
      <c r="J38" s="93"/>
      <c r="K38" s="93"/>
      <c r="L38" s="93"/>
      <c r="M38" s="93"/>
    </row>
    <row r="39" spans="1:13" s="95" customFormat="1" ht="6" customHeight="1">
      <c r="A39" s="98"/>
      <c r="B39" s="93"/>
      <c r="C39" s="78"/>
      <c r="E39" s="96"/>
      <c r="F39" s="78"/>
      <c r="G39" s="78"/>
      <c r="H39" s="78"/>
      <c r="I39" s="78"/>
      <c r="J39" s="93"/>
      <c r="K39" s="93"/>
      <c r="L39" s="93"/>
      <c r="M39" s="93"/>
    </row>
    <row r="40" spans="1:13" s="95" customFormat="1" ht="12.75">
      <c r="A40" s="98" t="s">
        <v>26</v>
      </c>
      <c r="B40" s="93"/>
      <c r="C40" s="93" t="s">
        <v>65</v>
      </c>
      <c r="E40" s="96"/>
      <c r="F40" s="97"/>
      <c r="G40" s="93"/>
      <c r="H40" s="93"/>
      <c r="I40" s="93"/>
      <c r="J40" s="93"/>
      <c r="K40" s="93"/>
      <c r="L40" s="93"/>
      <c r="M40" s="93"/>
    </row>
    <row r="41" spans="1:13" s="95" customFormat="1" ht="12.75">
      <c r="A41" s="98"/>
      <c r="B41" s="93"/>
      <c r="C41" s="93" t="s">
        <v>66</v>
      </c>
      <c r="E41" s="96"/>
      <c r="F41" s="97"/>
      <c r="G41" s="93"/>
      <c r="H41" s="93"/>
      <c r="I41" s="93"/>
      <c r="J41" s="93"/>
      <c r="K41" s="93"/>
      <c r="L41" s="93"/>
      <c r="M41" s="93"/>
    </row>
    <row r="42" spans="1:13" s="95" customFormat="1" ht="6" customHeight="1">
      <c r="A42" s="98"/>
      <c r="B42" s="93"/>
      <c r="C42" s="93"/>
      <c r="E42" s="96"/>
      <c r="F42" s="97"/>
      <c r="G42" s="93"/>
      <c r="H42" s="93"/>
      <c r="I42" s="93"/>
      <c r="J42" s="93"/>
      <c r="K42" s="93"/>
      <c r="L42" s="93"/>
      <c r="M42" s="93"/>
    </row>
    <row r="43" spans="1:13" s="95" customFormat="1" ht="12.75">
      <c r="A43" s="98" t="s">
        <v>29</v>
      </c>
      <c r="B43" s="93"/>
      <c r="C43" s="93" t="s">
        <v>30</v>
      </c>
      <c r="E43" s="96"/>
      <c r="F43" s="97"/>
      <c r="G43" s="93"/>
      <c r="H43" s="93"/>
      <c r="I43" s="93"/>
      <c r="J43" s="93"/>
      <c r="K43" s="93"/>
      <c r="L43" s="93"/>
      <c r="M43" s="93"/>
    </row>
    <row r="44" spans="1:13" s="95" customFormat="1" ht="6" customHeight="1">
      <c r="A44" s="98"/>
      <c r="B44" s="93"/>
      <c r="C44" s="93"/>
      <c r="D44" s="93"/>
      <c r="E44" s="96"/>
      <c r="F44" s="97"/>
      <c r="G44" s="93"/>
      <c r="H44" s="93"/>
      <c r="I44" s="93"/>
      <c r="J44" s="93"/>
      <c r="K44" s="93"/>
      <c r="L44" s="93"/>
      <c r="M44" s="93"/>
    </row>
    <row r="45" spans="1:12" s="95" customFormat="1" ht="12.75">
      <c r="A45" s="98" t="s">
        <v>76</v>
      </c>
      <c r="B45" s="93"/>
      <c r="C45" s="93" t="s">
        <v>105</v>
      </c>
      <c r="D45" s="96"/>
      <c r="E45" s="97"/>
      <c r="F45" s="93"/>
      <c r="G45" s="93"/>
      <c r="H45" s="93"/>
      <c r="I45" s="93"/>
      <c r="J45" s="93"/>
      <c r="K45" s="93"/>
      <c r="L45" s="93"/>
    </row>
    <row r="46" spans="1:12" s="95" customFormat="1" ht="12.75">
      <c r="A46" s="98"/>
      <c r="B46" s="93"/>
      <c r="C46" s="93" t="s">
        <v>85</v>
      </c>
      <c r="D46" s="96"/>
      <c r="E46" s="97"/>
      <c r="F46" s="93"/>
      <c r="G46" s="93"/>
      <c r="H46" s="93"/>
      <c r="I46" s="93"/>
      <c r="J46" s="93"/>
      <c r="K46" s="93"/>
      <c r="L46" s="93"/>
    </row>
    <row r="47" spans="1:12" s="95" customFormat="1" ht="12.75">
      <c r="A47" s="98"/>
      <c r="B47" s="93"/>
      <c r="C47" s="93" t="s">
        <v>86</v>
      </c>
      <c r="D47" s="96"/>
      <c r="E47" s="97"/>
      <c r="F47" s="93"/>
      <c r="G47" s="93"/>
      <c r="H47" s="93"/>
      <c r="I47" s="93"/>
      <c r="J47" s="93"/>
      <c r="K47" s="93"/>
      <c r="L47" s="93"/>
    </row>
    <row r="48" spans="1:13" s="95" customFormat="1" ht="6" customHeight="1">
      <c r="A48" s="98"/>
      <c r="B48" s="93"/>
      <c r="C48" s="93"/>
      <c r="D48" s="93"/>
      <c r="E48" s="96"/>
      <c r="F48" s="97"/>
      <c r="G48" s="93"/>
      <c r="H48" s="93"/>
      <c r="I48" s="93"/>
      <c r="J48" s="93"/>
      <c r="K48" s="93"/>
      <c r="L48" s="93"/>
      <c r="M48" s="93"/>
    </row>
    <row r="49" spans="1:12" s="95" customFormat="1" ht="12.75">
      <c r="A49" s="98" t="s">
        <v>31</v>
      </c>
      <c r="B49" s="93"/>
      <c r="C49" s="93" t="s">
        <v>106</v>
      </c>
      <c r="D49" s="96"/>
      <c r="E49" s="97"/>
      <c r="F49" s="93"/>
      <c r="G49" s="93"/>
      <c r="H49" s="93"/>
      <c r="I49" s="93"/>
      <c r="J49" s="93"/>
      <c r="K49" s="93"/>
      <c r="L49" s="93"/>
    </row>
    <row r="50" spans="1:12" s="95" customFormat="1" ht="12.75">
      <c r="A50" s="98"/>
      <c r="B50" s="93"/>
      <c r="C50" s="93" t="s">
        <v>107</v>
      </c>
      <c r="D50" s="96"/>
      <c r="E50" s="97"/>
      <c r="F50" s="93"/>
      <c r="G50" s="93"/>
      <c r="H50" s="93"/>
      <c r="I50" s="93"/>
      <c r="J50" s="93"/>
      <c r="K50" s="93"/>
      <c r="L50" s="93"/>
    </row>
    <row r="51" spans="1:13" s="95" customFormat="1" ht="6" customHeight="1">
      <c r="A51" s="98"/>
      <c r="B51" s="93"/>
      <c r="C51" s="93"/>
      <c r="E51" s="96"/>
      <c r="F51" s="97"/>
      <c r="G51" s="93"/>
      <c r="H51" s="93"/>
      <c r="I51" s="93"/>
      <c r="J51" s="93"/>
      <c r="K51" s="93"/>
      <c r="L51" s="93"/>
      <c r="M51" s="93"/>
    </row>
    <row r="52" spans="1:12" s="95" customFormat="1" ht="12.75">
      <c r="A52" s="98" t="s">
        <v>88</v>
      </c>
      <c r="B52" s="93"/>
      <c r="C52" s="93" t="s">
        <v>80</v>
      </c>
      <c r="D52" s="96"/>
      <c r="E52" s="97"/>
      <c r="F52" s="93"/>
      <c r="G52" s="93"/>
      <c r="H52" s="93"/>
      <c r="I52" s="93"/>
      <c r="J52" s="93"/>
      <c r="K52" s="93"/>
      <c r="L52" s="93"/>
    </row>
    <row r="53" spans="1:12" s="95" customFormat="1" ht="12.75">
      <c r="A53" s="73"/>
      <c r="B53" s="93"/>
      <c r="C53" s="93" t="s">
        <v>81</v>
      </c>
      <c r="D53" s="96"/>
      <c r="E53" s="97"/>
      <c r="F53" s="93"/>
      <c r="G53" s="93"/>
      <c r="H53" s="93"/>
      <c r="I53" s="93"/>
      <c r="J53" s="93"/>
      <c r="K53" s="93"/>
      <c r="L53" s="93"/>
    </row>
    <row r="54" spans="1:13" s="95" customFormat="1" ht="6" customHeight="1">
      <c r="A54" s="94"/>
      <c r="B54" s="99"/>
      <c r="C54" s="99"/>
      <c r="E54" s="99"/>
      <c r="F54" s="100"/>
      <c r="G54" s="99"/>
      <c r="H54" s="99"/>
      <c r="I54" s="99"/>
      <c r="J54" s="99"/>
      <c r="K54" s="99"/>
      <c r="L54" s="99"/>
      <c r="M54" s="99"/>
    </row>
    <row r="55" spans="1:13" s="95" customFormat="1" ht="12.75">
      <c r="A55" s="98" t="s">
        <v>53</v>
      </c>
      <c r="B55" s="93"/>
      <c r="C55" s="93" t="s">
        <v>67</v>
      </c>
      <c r="E55" s="96"/>
      <c r="F55" s="97"/>
      <c r="G55" s="93"/>
      <c r="H55" s="93"/>
      <c r="I55" s="93"/>
      <c r="J55" s="93"/>
      <c r="K55" s="93"/>
      <c r="L55" s="93"/>
      <c r="M55" s="96"/>
    </row>
    <row r="56" spans="1:13" s="95" customFormat="1" ht="12.75">
      <c r="A56" s="73"/>
      <c r="B56" s="93"/>
      <c r="C56" s="93" t="s">
        <v>68</v>
      </c>
      <c r="E56" s="96"/>
      <c r="F56" s="97"/>
      <c r="G56" s="93"/>
      <c r="H56" s="93"/>
      <c r="I56" s="93"/>
      <c r="J56" s="93"/>
      <c r="K56" s="93"/>
      <c r="L56" s="93"/>
      <c r="M56" s="96"/>
    </row>
    <row r="57" spans="1:13" s="95" customFormat="1" ht="12.75">
      <c r="A57" s="73"/>
      <c r="B57" s="93"/>
      <c r="C57" s="93" t="s">
        <v>69</v>
      </c>
      <c r="E57" s="96"/>
      <c r="F57" s="97"/>
      <c r="G57" s="93"/>
      <c r="H57" s="93"/>
      <c r="I57" s="93"/>
      <c r="J57" s="93"/>
      <c r="K57" s="93"/>
      <c r="L57" s="93"/>
      <c r="M57" s="96"/>
    </row>
    <row r="58" spans="1:13" ht="12.75">
      <c r="A58" s="94"/>
      <c r="B58" s="91"/>
      <c r="C58" s="91"/>
      <c r="D58" s="93"/>
      <c r="E58" s="91"/>
      <c r="F58" s="92"/>
      <c r="G58" s="91"/>
      <c r="H58" s="91"/>
      <c r="I58" s="91"/>
      <c r="J58" s="91"/>
      <c r="K58" s="91"/>
      <c r="L58" s="91"/>
      <c r="M58" s="91"/>
    </row>
    <row r="59" spans="1:13" s="75" customFormat="1" ht="12.75">
      <c r="A59" s="131" t="s">
        <v>32</v>
      </c>
      <c r="B59" s="132"/>
      <c r="C59" s="132"/>
      <c r="D59" s="132"/>
      <c r="E59" s="132"/>
      <c r="F59" s="132"/>
      <c r="G59" s="132"/>
      <c r="H59" s="132"/>
      <c r="I59" s="132"/>
      <c r="J59" s="132"/>
      <c r="K59" s="132"/>
      <c r="L59" s="132"/>
      <c r="M59" s="141"/>
    </row>
    <row r="60" ht="12.75">
      <c r="A60" s="74"/>
    </row>
    <row r="61" spans="1:13" ht="13.5">
      <c r="A61" s="90"/>
      <c r="E61" s="89" t="s">
        <v>10</v>
      </c>
      <c r="F61" s="130" t="s">
        <v>90</v>
      </c>
      <c r="G61" s="130"/>
      <c r="H61" s="130"/>
      <c r="I61" s="130"/>
      <c r="J61" s="89" t="s">
        <v>11</v>
      </c>
      <c r="K61" s="89" t="s">
        <v>83</v>
      </c>
      <c r="L61" s="89" t="s">
        <v>51</v>
      </c>
      <c r="M61" s="84"/>
    </row>
    <row r="62" spans="1:13" ht="12.75">
      <c r="A62" s="88"/>
      <c r="E62" s="85" t="s">
        <v>18</v>
      </c>
      <c r="F62" s="85" t="s">
        <v>91</v>
      </c>
      <c r="G62" s="87" t="s">
        <v>92</v>
      </c>
      <c r="H62" s="86"/>
      <c r="I62" s="85" t="s">
        <v>93</v>
      </c>
      <c r="J62" s="85" t="s">
        <v>20</v>
      </c>
      <c r="K62" s="85" t="s">
        <v>84</v>
      </c>
      <c r="L62" s="85" t="s">
        <v>52</v>
      </c>
      <c r="M62" s="84"/>
    </row>
    <row r="63" spans="2:13" ht="12.75">
      <c r="B63" s="80" t="s">
        <v>61</v>
      </c>
      <c r="C63" s="80"/>
      <c r="D63" s="80"/>
      <c r="E63" s="81">
        <v>0.35</v>
      </c>
      <c r="F63" s="81">
        <v>0.31</v>
      </c>
      <c r="G63" s="83">
        <v>0.0875</v>
      </c>
      <c r="H63" s="82"/>
      <c r="I63" s="81">
        <v>0.0125</v>
      </c>
      <c r="J63" s="81">
        <v>0.1</v>
      </c>
      <c r="K63" s="81">
        <v>0.1</v>
      </c>
      <c r="L63" s="81">
        <v>0.04</v>
      </c>
      <c r="M63" s="76"/>
    </row>
    <row r="64" spans="2:13" ht="12.75">
      <c r="B64" s="80" t="s">
        <v>109</v>
      </c>
      <c r="C64" s="80"/>
      <c r="D64" s="80"/>
      <c r="E64" s="81">
        <v>0.39</v>
      </c>
      <c r="F64" s="81">
        <v>0.31</v>
      </c>
      <c r="G64" s="83">
        <v>0.0875</v>
      </c>
      <c r="H64" s="82"/>
      <c r="I64" s="81">
        <v>0.0125</v>
      </c>
      <c r="J64" s="81">
        <v>0.1</v>
      </c>
      <c r="K64" s="81">
        <v>0.1</v>
      </c>
      <c r="L64" s="81">
        <v>0</v>
      </c>
      <c r="M64" s="76"/>
    </row>
    <row r="65" spans="2:13" ht="12.75">
      <c r="B65" s="80"/>
      <c r="C65" s="80"/>
      <c r="D65" s="80"/>
      <c r="E65" s="78"/>
      <c r="F65" s="79"/>
      <c r="G65" s="77"/>
      <c r="H65" s="78"/>
      <c r="I65" s="77"/>
      <c r="J65" s="77"/>
      <c r="K65" s="77"/>
      <c r="L65" s="77"/>
      <c r="M65" s="76"/>
    </row>
    <row r="66" spans="1:13" s="75" customFormat="1" ht="12.75">
      <c r="A66" s="133" t="s">
        <v>46</v>
      </c>
      <c r="B66" s="134"/>
      <c r="C66" s="134"/>
      <c r="D66" s="134"/>
      <c r="E66" s="134"/>
      <c r="F66" s="134"/>
      <c r="G66" s="134"/>
      <c r="H66" s="134"/>
      <c r="I66" s="134"/>
      <c r="J66" s="134"/>
      <c r="K66" s="134"/>
      <c r="L66" s="134"/>
      <c r="M66" s="142"/>
    </row>
    <row r="67" spans="1:6" ht="10.5" customHeight="1">
      <c r="A67" s="74"/>
      <c r="E67" s="69"/>
      <c r="F67" s="70"/>
    </row>
    <row r="68" spans="1:13" ht="51.75" customHeight="1">
      <c r="A68" s="135" t="s">
        <v>117</v>
      </c>
      <c r="B68" s="135"/>
      <c r="C68" s="135"/>
      <c r="D68" s="135"/>
      <c r="E68" s="135"/>
      <c r="F68" s="135"/>
      <c r="G68" s="135"/>
      <c r="H68" s="135"/>
      <c r="I68" s="135"/>
      <c r="J68" s="135"/>
      <c r="K68" s="135"/>
      <c r="L68" s="135"/>
      <c r="M68" s="135"/>
    </row>
    <row r="69" spans="1:6" ht="12.75">
      <c r="A69" s="70"/>
      <c r="E69" s="69"/>
      <c r="F69" s="70"/>
    </row>
    <row r="70" spans="2:5" ht="12.75">
      <c r="B70" s="74" t="s">
        <v>47</v>
      </c>
      <c r="C70" s="74"/>
      <c r="D70" s="74"/>
      <c r="E70" s="70">
        <v>865679</v>
      </c>
    </row>
    <row r="71" spans="2:5" ht="12.75">
      <c r="B71" s="74" t="s">
        <v>48</v>
      </c>
      <c r="C71" s="74"/>
      <c r="D71" s="74"/>
      <c r="E71" s="70">
        <v>288560</v>
      </c>
    </row>
    <row r="72" spans="2:5" ht="7.5" customHeight="1">
      <c r="B72" s="70" t="s">
        <v>33</v>
      </c>
      <c r="E72" s="70" t="s">
        <v>33</v>
      </c>
    </row>
    <row r="73" ht="12.75">
      <c r="E73" s="70" t="s">
        <v>33</v>
      </c>
    </row>
    <row r="74" ht="12.75">
      <c r="A74" s="73" t="s">
        <v>100</v>
      </c>
    </row>
  </sheetData>
  <sheetProtection/>
  <mergeCells count="12">
    <mergeCell ref="A68:M68"/>
    <mergeCell ref="A1:M1"/>
    <mergeCell ref="A2:M2"/>
    <mergeCell ref="A3:M3"/>
    <mergeCell ref="A4:M4"/>
    <mergeCell ref="A5:M5"/>
    <mergeCell ref="A8:M8"/>
    <mergeCell ref="I10:M10"/>
    <mergeCell ref="A31:M31"/>
    <mergeCell ref="A59:M59"/>
    <mergeCell ref="F61:I61"/>
    <mergeCell ref="A66:M66"/>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69"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M74"/>
  <sheetViews>
    <sheetView zoomScalePageLayoutView="0" workbookViewId="0" topLeftCell="A16">
      <selection activeCell="F27" sqref="F27:G27"/>
    </sheetView>
  </sheetViews>
  <sheetFormatPr defaultColWidth="9.140625" defaultRowHeight="12.75"/>
  <cols>
    <col min="1" max="1" width="9.28125" style="3" customWidth="1"/>
    <col min="2" max="2" width="14.140625" style="16" customWidth="1"/>
    <col min="3" max="3" width="12.00390625" style="16" customWidth="1"/>
    <col min="4" max="4" width="14.140625" style="16" customWidth="1"/>
    <col min="5" max="5" width="12.421875" style="16" customWidth="1"/>
    <col min="6" max="6" width="8.8515625" style="17" customWidth="1"/>
    <col min="7" max="7" width="10.28125" style="16" customWidth="1"/>
    <col min="8" max="8" width="1.421875" style="16" customWidth="1"/>
    <col min="9" max="9" width="13.8515625" style="16" customWidth="1"/>
    <col min="10" max="10" width="13.57421875" style="16" customWidth="1"/>
    <col min="11" max="11" width="12.00390625" style="16" customWidth="1"/>
    <col min="12" max="13" width="12.28125" style="16" customWidth="1"/>
    <col min="14" max="14" width="12.7109375" style="0" customWidth="1"/>
  </cols>
  <sheetData>
    <row r="1" spans="1:13" ht="18">
      <c r="A1" s="152" t="s">
        <v>102</v>
      </c>
      <c r="B1" s="152"/>
      <c r="C1" s="152"/>
      <c r="D1" s="152"/>
      <c r="E1" s="152"/>
      <c r="F1" s="152"/>
      <c r="G1" s="152"/>
      <c r="H1" s="152"/>
      <c r="I1" s="152"/>
      <c r="J1" s="152"/>
      <c r="K1" s="152"/>
      <c r="L1" s="152"/>
      <c r="M1" s="152"/>
    </row>
    <row r="2" spans="1:13" ht="15">
      <c r="A2" s="153" t="s">
        <v>1</v>
      </c>
      <c r="B2" s="153"/>
      <c r="C2" s="153"/>
      <c r="D2" s="153"/>
      <c r="E2" s="153"/>
      <c r="F2" s="153"/>
      <c r="G2" s="153"/>
      <c r="H2" s="153"/>
      <c r="I2" s="153"/>
      <c r="J2" s="153"/>
      <c r="K2" s="153"/>
      <c r="L2" s="153"/>
      <c r="M2" s="153"/>
    </row>
    <row r="3" spans="1:13" s="1" customFormat="1" ht="15">
      <c r="A3" s="153" t="s">
        <v>2</v>
      </c>
      <c r="B3" s="153"/>
      <c r="C3" s="153"/>
      <c r="D3" s="153"/>
      <c r="E3" s="153"/>
      <c r="F3" s="153"/>
      <c r="G3" s="153"/>
      <c r="H3" s="153"/>
      <c r="I3" s="153"/>
      <c r="J3" s="153"/>
      <c r="K3" s="153"/>
      <c r="L3" s="153"/>
      <c r="M3" s="153"/>
    </row>
    <row r="4" spans="1:13" s="1" customFormat="1" ht="12.75">
      <c r="A4" s="138" t="s">
        <v>3</v>
      </c>
      <c r="B4" s="139"/>
      <c r="C4" s="139"/>
      <c r="D4" s="139"/>
      <c r="E4" s="139"/>
      <c r="F4" s="139"/>
      <c r="G4" s="139"/>
      <c r="H4" s="139"/>
      <c r="I4" s="139"/>
      <c r="J4" s="139"/>
      <c r="K4" s="139"/>
      <c r="L4" s="139"/>
      <c r="M4" s="139"/>
    </row>
    <row r="5" spans="1:13" s="1" customFormat="1" ht="14.25">
      <c r="A5" s="154" t="s">
        <v>4</v>
      </c>
      <c r="B5" s="154"/>
      <c r="C5" s="154"/>
      <c r="D5" s="154"/>
      <c r="E5" s="154"/>
      <c r="F5" s="154"/>
      <c r="G5" s="154"/>
      <c r="H5" s="154"/>
      <c r="I5" s="154"/>
      <c r="J5" s="154"/>
      <c r="K5" s="154"/>
      <c r="L5" s="154"/>
      <c r="M5" s="154"/>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44" t="s">
        <v>115</v>
      </c>
      <c r="B8" s="145"/>
      <c r="C8" s="145"/>
      <c r="D8" s="145"/>
      <c r="E8" s="145"/>
      <c r="F8" s="145"/>
      <c r="G8" s="145"/>
      <c r="H8" s="145"/>
      <c r="I8" s="145"/>
      <c r="J8" s="145"/>
      <c r="K8" s="145"/>
      <c r="L8" s="145"/>
      <c r="M8" s="14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43" t="s">
        <v>6</v>
      </c>
      <c r="J10" s="143"/>
      <c r="K10" s="143"/>
      <c r="L10" s="143"/>
      <c r="M10" s="143"/>
    </row>
    <row r="11" spans="1:13" s="1" customFormat="1" ht="12.75">
      <c r="A11" s="3"/>
      <c r="B11" s="5"/>
      <c r="C11" s="5"/>
      <c r="D11" s="48"/>
      <c r="E11" s="5"/>
      <c r="F11" s="6"/>
      <c r="G11" s="5"/>
      <c r="H11" s="5"/>
      <c r="I11" s="5"/>
      <c r="J11" s="5"/>
      <c r="K11" s="5"/>
      <c r="L11" s="5"/>
      <c r="M11" s="5"/>
    </row>
    <row r="12" spans="1:13" s="12" customFormat="1" ht="12">
      <c r="A12" s="9"/>
      <c r="B12" s="10" t="s">
        <v>7</v>
      </c>
      <c r="C12" s="10" t="s">
        <v>75</v>
      </c>
      <c r="D12" s="10" t="s">
        <v>7</v>
      </c>
      <c r="E12" s="10"/>
      <c r="F12" s="11" t="s">
        <v>8</v>
      </c>
      <c r="G12" s="10" t="s">
        <v>9</v>
      </c>
      <c r="H12" s="10"/>
      <c r="I12" s="10" t="s">
        <v>10</v>
      </c>
      <c r="J12" s="10" t="s">
        <v>82</v>
      </c>
      <c r="K12" s="10" t="s">
        <v>11</v>
      </c>
      <c r="L12" s="10" t="s">
        <v>83</v>
      </c>
      <c r="M12" s="10" t="s">
        <v>51</v>
      </c>
    </row>
    <row r="13" spans="1:13" s="12" customFormat="1" ht="12">
      <c r="A13" s="13" t="s">
        <v>12</v>
      </c>
      <c r="B13" s="8" t="s">
        <v>13</v>
      </c>
      <c r="C13" s="8" t="s">
        <v>20</v>
      </c>
      <c r="D13" s="8" t="s">
        <v>14</v>
      </c>
      <c r="E13" s="8" t="s">
        <v>15</v>
      </c>
      <c r="F13" s="14" t="s">
        <v>16</v>
      </c>
      <c r="G13" s="8" t="s">
        <v>17</v>
      </c>
      <c r="H13" s="15"/>
      <c r="I13" s="8" t="s">
        <v>18</v>
      </c>
      <c r="J13" s="8" t="s">
        <v>19</v>
      </c>
      <c r="K13" s="8" t="s">
        <v>20</v>
      </c>
      <c r="L13" s="8" t="s">
        <v>84</v>
      </c>
      <c r="M13" s="8" t="s">
        <v>52</v>
      </c>
    </row>
    <row r="14" ht="12.75">
      <c r="D14" s="45"/>
    </row>
    <row r="15" spans="1:13" ht="12.75">
      <c r="A15" s="3">
        <v>42826</v>
      </c>
      <c r="B15" s="16">
        <v>72411368.02</v>
      </c>
      <c r="C15" s="16">
        <v>568013.2299999999</v>
      </c>
      <c r="D15" s="45">
        <f aca="true" t="shared" si="0" ref="D15:D26">+B15-C15-E15</f>
        <v>66324639.39999999</v>
      </c>
      <c r="E15" s="45">
        <v>5518715.390000001</v>
      </c>
      <c r="F15" s="17">
        <v>940</v>
      </c>
      <c r="G15" s="16">
        <f>E15/F15/30</f>
        <v>195.69912730496455</v>
      </c>
      <c r="I15" s="16">
        <v>1931550.38</v>
      </c>
      <c r="J15" s="16">
        <v>2262673.3</v>
      </c>
      <c r="K15" s="16">
        <v>551871.57</v>
      </c>
      <c r="L15" s="16">
        <v>551871.57</v>
      </c>
      <c r="M15" s="16">
        <v>220748.61000000004</v>
      </c>
    </row>
    <row r="16" spans="1:13" ht="12.75">
      <c r="A16" s="3">
        <v>42856</v>
      </c>
      <c r="B16" s="16">
        <v>72060364.61</v>
      </c>
      <c r="C16" s="16">
        <v>709665.2100000001</v>
      </c>
      <c r="D16" s="45">
        <f t="shared" si="0"/>
        <v>65982965.690000005</v>
      </c>
      <c r="E16" s="45">
        <v>5367733.709999999</v>
      </c>
      <c r="F16" s="17">
        <v>940</v>
      </c>
      <c r="G16" s="16">
        <f>+E16/F16/31</f>
        <v>184.20500034317087</v>
      </c>
      <c r="I16" s="16">
        <v>1878706.8000000003</v>
      </c>
      <c r="J16" s="16">
        <v>2200770.79</v>
      </c>
      <c r="K16" s="16">
        <v>536773.3999999999</v>
      </c>
      <c r="L16" s="16">
        <v>536773.4099999999</v>
      </c>
      <c r="M16" s="16">
        <v>214709.34000000005</v>
      </c>
    </row>
    <row r="17" spans="1:13" ht="12.75">
      <c r="A17" s="3">
        <v>42887</v>
      </c>
      <c r="B17" s="16">
        <v>68285213.47</v>
      </c>
      <c r="C17" s="16">
        <v>631299.6900000002</v>
      </c>
      <c r="D17" s="45">
        <f t="shared" si="0"/>
        <v>62397614.2</v>
      </c>
      <c r="E17" s="45">
        <v>5256299.58</v>
      </c>
      <c r="F17" s="17">
        <v>940</v>
      </c>
      <c r="G17" s="16">
        <f>E17/F17/30</f>
        <v>186.39360212765956</v>
      </c>
      <c r="I17" s="16">
        <v>1839704.8499999999</v>
      </c>
      <c r="J17" s="16">
        <v>2155082.81</v>
      </c>
      <c r="K17" s="16">
        <v>525629.9799999999</v>
      </c>
      <c r="L17" s="16">
        <v>525629.9799999999</v>
      </c>
      <c r="M17" s="16">
        <v>210252.00999999995</v>
      </c>
    </row>
    <row r="18" spans="1:13" ht="12.75">
      <c r="A18" s="3">
        <v>42917</v>
      </c>
      <c r="B18" s="16">
        <v>69948014.16</v>
      </c>
      <c r="C18" s="16">
        <v>907788.9299999998</v>
      </c>
      <c r="D18" s="45">
        <f t="shared" si="0"/>
        <v>63941325.57999999</v>
      </c>
      <c r="E18" s="45">
        <v>5098899.649999999</v>
      </c>
      <c r="F18" s="17">
        <v>940</v>
      </c>
      <c r="G18" s="16">
        <v>175</v>
      </c>
      <c r="I18" s="16">
        <v>1784614.8999999997</v>
      </c>
      <c r="J18" s="16">
        <v>2090548.8499999996</v>
      </c>
      <c r="K18" s="16">
        <v>509889.98</v>
      </c>
      <c r="L18" s="16">
        <v>509890</v>
      </c>
      <c r="M18" s="16">
        <v>203955.96</v>
      </c>
    </row>
    <row r="19" spans="1:13" ht="12.75">
      <c r="A19" s="3">
        <v>42948</v>
      </c>
      <c r="B19" s="16">
        <v>60958799.84000001</v>
      </c>
      <c r="C19" s="16">
        <v>1142677.9500000002</v>
      </c>
      <c r="D19" s="45">
        <f t="shared" si="0"/>
        <v>55751927.70000001</v>
      </c>
      <c r="E19" s="45">
        <v>4064194.1899999995</v>
      </c>
      <c r="F19" s="17">
        <f>21149/31</f>
        <v>682.2258064516129</v>
      </c>
      <c r="G19" s="16">
        <v>192</v>
      </c>
      <c r="I19" s="16">
        <v>1422468</v>
      </c>
      <c r="J19" s="16">
        <v>1666319.6100000006</v>
      </c>
      <c r="K19" s="16">
        <v>406419.43</v>
      </c>
      <c r="L19" s="16">
        <v>406419.44</v>
      </c>
      <c r="M19" s="16">
        <v>162567.77</v>
      </c>
    </row>
    <row r="20" spans="1:13" ht="12.75">
      <c r="A20" s="3">
        <v>42979</v>
      </c>
      <c r="B20" s="16">
        <v>62538272.809999995</v>
      </c>
      <c r="C20" s="16">
        <v>659521.8100000002</v>
      </c>
      <c r="D20" s="45">
        <f t="shared" si="0"/>
        <v>57348439.18999999</v>
      </c>
      <c r="E20" s="45">
        <v>4530311.8100000005</v>
      </c>
      <c r="F20" s="17">
        <f>17577/30</f>
        <v>585.9</v>
      </c>
      <c r="G20" s="16">
        <f>E20/F20/30</f>
        <v>257.7409006087501</v>
      </c>
      <c r="I20" s="16">
        <v>1585609.1499999997</v>
      </c>
      <c r="J20" s="16">
        <v>1857427.81</v>
      </c>
      <c r="K20" s="16">
        <v>453031.1800000001</v>
      </c>
      <c r="L20" s="16">
        <v>453031.1900000001</v>
      </c>
      <c r="M20" s="16">
        <v>181212.47999999995</v>
      </c>
    </row>
    <row r="21" spans="1:13" ht="12.75">
      <c r="A21" s="3">
        <v>43009</v>
      </c>
      <c r="B21" s="16">
        <v>62996976.98000001</v>
      </c>
      <c r="C21" s="16">
        <v>630520.4199999999</v>
      </c>
      <c r="D21" s="45">
        <f t="shared" si="0"/>
        <v>57634540.96000001</v>
      </c>
      <c r="E21" s="45">
        <v>4731915.6</v>
      </c>
      <c r="F21" s="17">
        <f>27838/31</f>
        <v>898</v>
      </c>
      <c r="G21" s="16">
        <f>+E21/F21/31</f>
        <v>169.98044399741357</v>
      </c>
      <c r="I21" s="16">
        <v>1656170.43</v>
      </c>
      <c r="J21" s="16">
        <v>1940085.4000000001</v>
      </c>
      <c r="K21" s="16">
        <v>473191.59</v>
      </c>
      <c r="L21" s="16">
        <v>473191.59</v>
      </c>
      <c r="M21" s="16">
        <v>189276.63000000003</v>
      </c>
    </row>
    <row r="22" spans="1:13" ht="12.75">
      <c r="A22" s="3">
        <v>43040</v>
      </c>
      <c r="B22" s="16">
        <v>63184715.650000006</v>
      </c>
      <c r="C22" s="16">
        <v>657453.31</v>
      </c>
      <c r="D22" s="45">
        <f t="shared" si="0"/>
        <v>57981411.32000001</v>
      </c>
      <c r="E22" s="45">
        <v>4545851.019999999</v>
      </c>
      <c r="F22" s="17">
        <v>898</v>
      </c>
      <c r="G22" s="16">
        <f>E22/F22/30</f>
        <v>168.73982999257606</v>
      </c>
      <c r="I22" s="16">
        <v>1591047.86</v>
      </c>
      <c r="J22" s="16">
        <v>1863798.9300000004</v>
      </c>
      <c r="K22" s="16">
        <v>454585.11000000004</v>
      </c>
      <c r="L22" s="16">
        <v>454585.11000000004</v>
      </c>
      <c r="M22" s="16">
        <v>181834.05</v>
      </c>
    </row>
    <row r="23" spans="1:13" ht="12.75">
      <c r="A23" s="3">
        <v>43070</v>
      </c>
      <c r="B23" s="16">
        <v>56934233.80999999</v>
      </c>
      <c r="C23" s="16">
        <v>647472.8</v>
      </c>
      <c r="D23" s="45">
        <f t="shared" si="0"/>
        <v>52225748.46299999</v>
      </c>
      <c r="E23" s="45">
        <v>4061012.547</v>
      </c>
      <c r="F23" s="17">
        <f>27838/31</f>
        <v>898</v>
      </c>
      <c r="G23" s="16">
        <f>+E23/F23/31</f>
        <v>145.88018345427113</v>
      </c>
      <c r="I23" s="16">
        <v>1421354.4100000004</v>
      </c>
      <c r="J23" s="16">
        <v>1665015.15</v>
      </c>
      <c r="K23" s="16">
        <v>406101.26000000007</v>
      </c>
      <c r="L23" s="16">
        <v>406101.25000000006</v>
      </c>
      <c r="M23" s="16">
        <v>162440.5</v>
      </c>
    </row>
    <row r="24" spans="1:13" ht="12.75">
      <c r="A24" s="3">
        <v>43101</v>
      </c>
      <c r="B24" s="16">
        <v>61289384.59</v>
      </c>
      <c r="C24" s="16">
        <v>782699.8099999999</v>
      </c>
      <c r="D24" s="45">
        <f t="shared" si="0"/>
        <v>56077061.2</v>
      </c>
      <c r="E24" s="45">
        <v>4429623.58</v>
      </c>
      <c r="F24" s="17">
        <f>27838/31</f>
        <v>898</v>
      </c>
      <c r="G24" s="16">
        <f>+E24/F24/31</f>
        <v>159.12147352539694</v>
      </c>
      <c r="I24" s="16">
        <v>1550368.2499999998</v>
      </c>
      <c r="J24" s="16">
        <v>1816145.6400000006</v>
      </c>
      <c r="K24" s="16">
        <v>442962.39</v>
      </c>
      <c r="L24" s="16">
        <v>442962.39999999997</v>
      </c>
      <c r="M24" s="16">
        <v>177184.95000000004</v>
      </c>
    </row>
    <row r="25" spans="1:13" ht="12.75">
      <c r="A25" s="3">
        <v>43132</v>
      </c>
      <c r="B25" s="16">
        <v>65179384.86000001</v>
      </c>
      <c r="C25" s="16">
        <v>552007.2</v>
      </c>
      <c r="D25" s="45">
        <f t="shared" si="0"/>
        <v>59715640.38</v>
      </c>
      <c r="E25" s="45">
        <v>4911737.280000001</v>
      </c>
      <c r="F25" s="17">
        <f>25144/28</f>
        <v>898</v>
      </c>
      <c r="G25" s="16">
        <f>+E25/F25/28</f>
        <v>195.3443079860007</v>
      </c>
      <c r="I25" s="16">
        <v>1719108.0599999994</v>
      </c>
      <c r="J25" s="16">
        <v>2013812.2899999998</v>
      </c>
      <c r="K25" s="16">
        <v>491173.72000000003</v>
      </c>
      <c r="L25" s="16">
        <v>491173.73000000004</v>
      </c>
      <c r="M25" s="16">
        <v>196469.50999999998</v>
      </c>
    </row>
    <row r="26" spans="1:13" ht="12.75">
      <c r="A26" s="3">
        <v>43160</v>
      </c>
      <c r="B26" s="16">
        <v>74219246.96</v>
      </c>
      <c r="C26" s="16">
        <v>611576.86</v>
      </c>
      <c r="D26" s="45">
        <f t="shared" si="0"/>
        <v>67980484.16999999</v>
      </c>
      <c r="E26" s="45">
        <v>5627185.930000001</v>
      </c>
      <c r="F26" s="17">
        <f>27838/31</f>
        <v>898</v>
      </c>
      <c r="G26" s="16">
        <f>+E26/F26/31</f>
        <v>202.14045297794385</v>
      </c>
      <c r="I26" s="16">
        <v>1969515.0599999994</v>
      </c>
      <c r="J26" s="16">
        <v>2307146.2399999998</v>
      </c>
      <c r="K26" s="16">
        <v>562718.58</v>
      </c>
      <c r="L26" s="16">
        <v>562718.59</v>
      </c>
      <c r="M26" s="16">
        <v>225087.42999999996</v>
      </c>
    </row>
    <row r="27" spans="1:13" ht="13.5" thickBot="1">
      <c r="A27" s="65" t="s">
        <v>21</v>
      </c>
      <c r="B27" s="66">
        <f>SUM(B15:B26)</f>
        <v>790005975.7600001</v>
      </c>
      <c r="C27" s="66">
        <f>SUM(C15:C26)</f>
        <v>8500697.22</v>
      </c>
      <c r="D27" s="67">
        <f>SUM(D15:D26)</f>
        <v>723361798.253</v>
      </c>
      <c r="E27" s="66">
        <f>SUM(E15:E26)</f>
        <v>58143480.28699999</v>
      </c>
      <c r="F27" s="68">
        <f>AVERAGE(F15:F26)</f>
        <v>868.0104838709676</v>
      </c>
      <c r="G27" s="66">
        <f>AVERAGE(G15:G26)</f>
        <v>186.02044352651228</v>
      </c>
      <c r="H27" s="34"/>
      <c r="I27" s="66">
        <f>SUM(I15:I26)</f>
        <v>20350218.15</v>
      </c>
      <c r="J27" s="66">
        <f>SUM(J15:J26)</f>
        <v>23838826.82</v>
      </c>
      <c r="K27" s="66">
        <f>SUM(K15:K26)</f>
        <v>5814348.1899999995</v>
      </c>
      <c r="L27" s="66">
        <f>SUM(L15:L26)</f>
        <v>5814348.260000001</v>
      </c>
      <c r="M27" s="66">
        <f>SUM(M15:M26)</f>
        <v>2325739.24</v>
      </c>
    </row>
    <row r="28" spans="2:13" ht="10.5" customHeight="1" thickTop="1">
      <c r="B28" s="20"/>
      <c r="C28" s="20"/>
      <c r="D28" s="18"/>
      <c r="E28" s="20"/>
      <c r="I28" s="20"/>
      <c r="J28" s="20"/>
      <c r="K28" s="20"/>
      <c r="L28" s="20"/>
      <c r="M28" s="20"/>
    </row>
    <row r="29" spans="1:13" s="23" customFormat="1" ht="12.75">
      <c r="A29" s="21"/>
      <c r="B29" s="22"/>
      <c r="C29" s="50">
        <f>C27/B27</f>
        <v>0.010760294834253848</v>
      </c>
      <c r="D29" s="50">
        <f>D27/B27</f>
        <v>0.9156409197501485</v>
      </c>
      <c r="E29" s="22">
        <f>E27/B27</f>
        <v>0.07359878541559753</v>
      </c>
      <c r="I29" s="22">
        <f>I27/$E$27</f>
        <v>0.3500000008522022</v>
      </c>
      <c r="J29" s="22">
        <f>J27/$E$27</f>
        <v>0.4099999983201901</v>
      </c>
      <c r="K29" s="22">
        <f>K27/$E$27</f>
        <v>0.10000000277417175</v>
      </c>
      <c r="L29" s="22">
        <f>L27/$E$27</f>
        <v>0.10000000397809007</v>
      </c>
      <c r="M29" s="22">
        <f>M27/$E$27</f>
        <v>0.04000000049051072</v>
      </c>
    </row>
    <row r="31" spans="1:13" s="24" customFormat="1" ht="12.75">
      <c r="A31" s="144" t="s">
        <v>22</v>
      </c>
      <c r="B31" s="145"/>
      <c r="C31" s="145"/>
      <c r="D31" s="145"/>
      <c r="E31" s="145"/>
      <c r="F31" s="145"/>
      <c r="G31" s="145"/>
      <c r="H31" s="145"/>
      <c r="I31" s="145"/>
      <c r="J31" s="145"/>
      <c r="K31" s="145"/>
      <c r="L31" s="145"/>
      <c r="M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3" s="47" customFormat="1" ht="6" customHeight="1">
      <c r="A35" s="26"/>
      <c r="B35" s="44"/>
      <c r="C35" s="27"/>
      <c r="E35" s="51"/>
      <c r="F35" s="51"/>
      <c r="G35" s="51"/>
      <c r="H35" s="51"/>
      <c r="I35" s="51"/>
      <c r="J35" s="51"/>
      <c r="K35" s="51"/>
      <c r="L35" s="51"/>
      <c r="M35" s="51"/>
    </row>
    <row r="36" spans="1:13" s="47" customFormat="1" ht="12.75">
      <c r="A36" s="26" t="s">
        <v>99</v>
      </c>
      <c r="B36" s="44"/>
      <c r="C36" s="27" t="s">
        <v>89</v>
      </c>
      <c r="D36" s="45"/>
      <c r="E36" s="45"/>
      <c r="F36" s="27"/>
      <c r="G36" s="27"/>
      <c r="H36" s="27"/>
      <c r="I36" s="27"/>
      <c r="J36" s="44"/>
      <c r="K36" s="44"/>
      <c r="L36" s="44"/>
      <c r="M36" s="44"/>
    </row>
    <row r="37" spans="1:13" s="47" customFormat="1" ht="6" customHeight="1">
      <c r="A37" s="26"/>
      <c r="B37" s="44"/>
      <c r="C37" s="27"/>
      <c r="E37" s="45"/>
      <c r="F37" s="27"/>
      <c r="G37" s="27"/>
      <c r="H37" s="27"/>
      <c r="I37" s="27"/>
      <c r="J37" s="44"/>
      <c r="K37" s="44"/>
      <c r="L37" s="44"/>
      <c r="M37" s="44"/>
    </row>
    <row r="38" spans="1:13" s="47" customFormat="1" ht="12.75">
      <c r="A38" s="26" t="s">
        <v>24</v>
      </c>
      <c r="B38" s="44"/>
      <c r="C38" s="62" t="s">
        <v>103</v>
      </c>
      <c r="E38" s="45"/>
      <c r="F38" s="27"/>
      <c r="G38" s="27"/>
      <c r="H38" s="27"/>
      <c r="I38" s="27"/>
      <c r="J38" s="44"/>
      <c r="K38" s="44"/>
      <c r="L38" s="44"/>
      <c r="M38" s="44"/>
    </row>
    <row r="39" spans="1:13" s="47" customFormat="1" ht="6" customHeight="1">
      <c r="A39" s="26"/>
      <c r="B39" s="44"/>
      <c r="C39" s="27"/>
      <c r="E39" s="45"/>
      <c r="F39" s="27"/>
      <c r="G39" s="27"/>
      <c r="H39" s="27"/>
      <c r="I39" s="27"/>
      <c r="J39" s="44"/>
      <c r="K39" s="44"/>
      <c r="L39" s="44"/>
      <c r="M39" s="44"/>
    </row>
    <row r="40" spans="1:13" s="47" customFormat="1" ht="12.75">
      <c r="A40" s="26" t="s">
        <v>26</v>
      </c>
      <c r="B40" s="44"/>
      <c r="C40" s="44" t="s">
        <v>65</v>
      </c>
      <c r="E40" s="45"/>
      <c r="F40" s="46"/>
      <c r="G40" s="44"/>
      <c r="H40" s="44"/>
      <c r="I40" s="44"/>
      <c r="J40" s="44"/>
      <c r="K40" s="44"/>
      <c r="L40" s="44"/>
      <c r="M40" s="44"/>
    </row>
    <row r="41" spans="1:13" s="47" customFormat="1" ht="12.75">
      <c r="A41" s="26"/>
      <c r="B41" s="44"/>
      <c r="C41" s="44" t="s">
        <v>66</v>
      </c>
      <c r="E41" s="45"/>
      <c r="F41" s="46"/>
      <c r="G41" s="44"/>
      <c r="H41" s="44"/>
      <c r="I41" s="44"/>
      <c r="J41" s="44"/>
      <c r="K41" s="44"/>
      <c r="L41" s="44"/>
      <c r="M41" s="44"/>
    </row>
    <row r="42" spans="1:13" s="47" customFormat="1" ht="6" customHeight="1">
      <c r="A42" s="26"/>
      <c r="B42" s="44"/>
      <c r="C42" s="44"/>
      <c r="E42" s="45"/>
      <c r="F42" s="46"/>
      <c r="G42" s="44"/>
      <c r="H42" s="44"/>
      <c r="I42" s="44"/>
      <c r="J42" s="44"/>
      <c r="K42" s="44"/>
      <c r="L42" s="44"/>
      <c r="M42" s="44"/>
    </row>
    <row r="43" spans="1:13" s="47" customFormat="1" ht="12.75">
      <c r="A43" s="26" t="s">
        <v>29</v>
      </c>
      <c r="B43" s="44"/>
      <c r="C43" s="44" t="s">
        <v>30</v>
      </c>
      <c r="E43" s="45"/>
      <c r="F43" s="46"/>
      <c r="G43" s="44"/>
      <c r="H43" s="44"/>
      <c r="I43" s="44"/>
      <c r="J43" s="44"/>
      <c r="K43" s="44"/>
      <c r="L43" s="44"/>
      <c r="M43" s="44"/>
    </row>
    <row r="44" spans="1:13" s="47" customFormat="1" ht="6" customHeight="1">
      <c r="A44" s="26"/>
      <c r="B44" s="44"/>
      <c r="C44" s="44"/>
      <c r="D44" s="44"/>
      <c r="E44" s="45"/>
      <c r="F44" s="46"/>
      <c r="G44" s="44"/>
      <c r="H44" s="44"/>
      <c r="I44" s="44"/>
      <c r="J44" s="44"/>
      <c r="K44" s="44"/>
      <c r="L44" s="44"/>
      <c r="M44" s="44"/>
    </row>
    <row r="45" spans="1:12" s="47" customFormat="1" ht="12.75">
      <c r="A45" s="26" t="s">
        <v>76</v>
      </c>
      <c r="B45" s="44"/>
      <c r="C45" s="44" t="s">
        <v>105</v>
      </c>
      <c r="D45" s="45"/>
      <c r="E45" s="46"/>
      <c r="F45" s="44"/>
      <c r="G45" s="44"/>
      <c r="H45" s="44"/>
      <c r="I45" s="44"/>
      <c r="J45" s="44"/>
      <c r="K45" s="44"/>
      <c r="L45" s="44"/>
    </row>
    <row r="46" spans="1:12" s="47" customFormat="1" ht="12.75">
      <c r="A46" s="26"/>
      <c r="B46" s="44"/>
      <c r="C46" s="44" t="s">
        <v>85</v>
      </c>
      <c r="D46" s="45"/>
      <c r="E46" s="46"/>
      <c r="F46" s="44"/>
      <c r="G46" s="44"/>
      <c r="H46" s="44"/>
      <c r="I46" s="44"/>
      <c r="J46" s="44"/>
      <c r="K46" s="44"/>
      <c r="L46" s="44"/>
    </row>
    <row r="47" spans="1:12" s="47" customFormat="1" ht="12.75">
      <c r="A47" s="26"/>
      <c r="B47" s="44"/>
      <c r="C47" s="44" t="s">
        <v>86</v>
      </c>
      <c r="D47" s="45"/>
      <c r="E47" s="46"/>
      <c r="F47" s="44"/>
      <c r="G47" s="44"/>
      <c r="H47" s="44"/>
      <c r="I47" s="44"/>
      <c r="J47" s="44"/>
      <c r="K47" s="44"/>
      <c r="L47" s="44"/>
    </row>
    <row r="48" spans="1:13" s="47" customFormat="1" ht="6" customHeight="1">
      <c r="A48" s="26"/>
      <c r="B48" s="44"/>
      <c r="C48" s="44"/>
      <c r="D48" s="44"/>
      <c r="E48" s="45"/>
      <c r="F48" s="46"/>
      <c r="G48" s="44"/>
      <c r="H48" s="44"/>
      <c r="I48" s="44"/>
      <c r="J48" s="44"/>
      <c r="K48" s="44"/>
      <c r="L48" s="44"/>
      <c r="M48" s="44"/>
    </row>
    <row r="49" spans="1:12" s="47" customFormat="1" ht="12.75">
      <c r="A49" s="26" t="s">
        <v>31</v>
      </c>
      <c r="B49" s="44"/>
      <c r="C49" s="44" t="s">
        <v>106</v>
      </c>
      <c r="D49" s="45"/>
      <c r="E49" s="46"/>
      <c r="F49" s="44"/>
      <c r="G49" s="44"/>
      <c r="H49" s="44"/>
      <c r="I49" s="44"/>
      <c r="J49" s="44"/>
      <c r="K49" s="44"/>
      <c r="L49" s="44"/>
    </row>
    <row r="50" spans="1:12" s="47" customFormat="1" ht="12.75">
      <c r="A50" s="26"/>
      <c r="B50" s="44"/>
      <c r="C50" s="44" t="s">
        <v>107</v>
      </c>
      <c r="D50" s="45"/>
      <c r="E50" s="46"/>
      <c r="F50" s="44"/>
      <c r="G50" s="44"/>
      <c r="H50" s="44"/>
      <c r="I50" s="44"/>
      <c r="J50" s="44"/>
      <c r="K50" s="44"/>
      <c r="L50" s="44"/>
    </row>
    <row r="51" spans="1:13" s="47" customFormat="1" ht="6" customHeight="1">
      <c r="A51" s="26"/>
      <c r="B51" s="44"/>
      <c r="C51" s="44"/>
      <c r="E51" s="45"/>
      <c r="F51" s="46"/>
      <c r="G51" s="44"/>
      <c r="H51" s="44"/>
      <c r="I51" s="44"/>
      <c r="J51" s="44"/>
      <c r="K51" s="44"/>
      <c r="L51" s="44"/>
      <c r="M51" s="44"/>
    </row>
    <row r="52" spans="1:12" s="47" customFormat="1" ht="12.75">
      <c r="A52" s="26" t="s">
        <v>88</v>
      </c>
      <c r="B52" s="44"/>
      <c r="C52" s="44" t="s">
        <v>80</v>
      </c>
      <c r="D52" s="45"/>
      <c r="E52" s="46"/>
      <c r="F52" s="44"/>
      <c r="G52" s="44"/>
      <c r="H52" s="44"/>
      <c r="I52" s="44"/>
      <c r="J52" s="44"/>
      <c r="K52" s="44"/>
      <c r="L52" s="44"/>
    </row>
    <row r="53" spans="1:12" s="47" customFormat="1" ht="12.75">
      <c r="A53" s="29"/>
      <c r="B53" s="44"/>
      <c r="C53" s="44" t="s">
        <v>81</v>
      </c>
      <c r="D53" s="45"/>
      <c r="E53" s="46"/>
      <c r="F53" s="44"/>
      <c r="G53" s="44"/>
      <c r="H53" s="44"/>
      <c r="I53" s="44"/>
      <c r="J53" s="44"/>
      <c r="K53" s="44"/>
      <c r="L53" s="44"/>
    </row>
    <row r="54" spans="1:13" s="47" customFormat="1" ht="6" customHeight="1">
      <c r="A54" s="30"/>
      <c r="B54" s="52"/>
      <c r="C54" s="52"/>
      <c r="E54" s="52"/>
      <c r="F54" s="53"/>
      <c r="G54" s="52"/>
      <c r="H54" s="52"/>
      <c r="I54" s="52"/>
      <c r="J54" s="52"/>
      <c r="K54" s="52"/>
      <c r="L54" s="52"/>
      <c r="M54" s="52"/>
    </row>
    <row r="55" spans="1:13" s="47" customFormat="1" ht="12.75">
      <c r="A55" s="26" t="s">
        <v>53</v>
      </c>
      <c r="B55" s="44"/>
      <c r="C55" s="44" t="s">
        <v>67</v>
      </c>
      <c r="E55" s="45"/>
      <c r="F55" s="46"/>
      <c r="G55" s="44"/>
      <c r="H55" s="44"/>
      <c r="I55" s="44"/>
      <c r="J55" s="44"/>
      <c r="K55" s="44"/>
      <c r="L55" s="44"/>
      <c r="M55" s="45"/>
    </row>
    <row r="56" spans="1:13" s="47" customFormat="1" ht="12.75">
      <c r="A56" s="29"/>
      <c r="B56" s="44"/>
      <c r="C56" s="44" t="s">
        <v>68</v>
      </c>
      <c r="E56" s="45"/>
      <c r="F56" s="46"/>
      <c r="G56" s="44"/>
      <c r="H56" s="44"/>
      <c r="I56" s="44"/>
      <c r="J56" s="44"/>
      <c r="K56" s="44"/>
      <c r="L56" s="44"/>
      <c r="M56" s="45"/>
    </row>
    <row r="57" spans="1:13" s="47" customFormat="1" ht="12.75">
      <c r="A57" s="29"/>
      <c r="B57" s="44"/>
      <c r="C57" s="44" t="s">
        <v>69</v>
      </c>
      <c r="E57" s="45"/>
      <c r="F57" s="46"/>
      <c r="G57" s="44"/>
      <c r="H57" s="44"/>
      <c r="I57" s="44"/>
      <c r="J57" s="44"/>
      <c r="K57" s="44"/>
      <c r="L57" s="44"/>
      <c r="M57" s="45"/>
    </row>
    <row r="58" spans="1:13" ht="12.75">
      <c r="A58" s="30"/>
      <c r="B58" s="31"/>
      <c r="C58" s="31"/>
      <c r="D58" s="44"/>
      <c r="E58" s="31"/>
      <c r="F58" s="32"/>
      <c r="G58" s="31"/>
      <c r="H58" s="31"/>
      <c r="I58" s="31"/>
      <c r="J58" s="31"/>
      <c r="K58" s="31"/>
      <c r="L58" s="31"/>
      <c r="M58" s="31"/>
    </row>
    <row r="59" spans="1:13" s="24" customFormat="1" ht="12.75">
      <c r="A59" s="144" t="s">
        <v>32</v>
      </c>
      <c r="B59" s="145"/>
      <c r="C59" s="145"/>
      <c r="D59" s="145"/>
      <c r="E59" s="145"/>
      <c r="F59" s="145"/>
      <c r="G59" s="145"/>
      <c r="H59" s="145"/>
      <c r="I59" s="145"/>
      <c r="J59" s="145"/>
      <c r="K59" s="145"/>
      <c r="L59" s="145"/>
      <c r="M59" s="146"/>
    </row>
    <row r="60" ht="12.75">
      <c r="A60" s="25"/>
    </row>
    <row r="61" spans="1:13" ht="13.5">
      <c r="A61" s="33"/>
      <c r="E61" s="10" t="s">
        <v>10</v>
      </c>
      <c r="F61" s="143" t="s">
        <v>90</v>
      </c>
      <c r="G61" s="143"/>
      <c r="H61" s="143"/>
      <c r="I61" s="143"/>
      <c r="J61" s="10" t="s">
        <v>11</v>
      </c>
      <c r="K61" s="10" t="s">
        <v>83</v>
      </c>
      <c r="L61" s="10" t="s">
        <v>51</v>
      </c>
      <c r="M61" s="35"/>
    </row>
    <row r="62" spans="1:13" ht="12.75">
      <c r="A62" s="36"/>
      <c r="E62" s="8" t="s">
        <v>18</v>
      </c>
      <c r="F62" s="8" t="s">
        <v>91</v>
      </c>
      <c r="G62" s="56" t="s">
        <v>92</v>
      </c>
      <c r="H62" s="37"/>
      <c r="I62" s="8" t="s">
        <v>93</v>
      </c>
      <c r="J62" s="8" t="s">
        <v>20</v>
      </c>
      <c r="K62" s="8" t="s">
        <v>84</v>
      </c>
      <c r="L62" s="8" t="s">
        <v>52</v>
      </c>
      <c r="M62" s="35"/>
    </row>
    <row r="63" spans="2:13" ht="12.75">
      <c r="B63" s="40" t="s">
        <v>61</v>
      </c>
      <c r="C63" s="40"/>
      <c r="D63" s="40"/>
      <c r="E63" s="57">
        <v>0.35</v>
      </c>
      <c r="F63" s="57">
        <v>0.31</v>
      </c>
      <c r="G63" s="58">
        <v>0.0875</v>
      </c>
      <c r="H63" s="59"/>
      <c r="I63" s="57">
        <v>0.0125</v>
      </c>
      <c r="J63" s="57">
        <v>0.1</v>
      </c>
      <c r="K63" s="57">
        <v>0.1</v>
      </c>
      <c r="L63" s="57">
        <v>0.04</v>
      </c>
      <c r="M63" s="39"/>
    </row>
    <row r="64" spans="2:13" ht="12.75">
      <c r="B64" s="40" t="s">
        <v>109</v>
      </c>
      <c r="C64" s="40"/>
      <c r="D64" s="40"/>
      <c r="E64" s="57">
        <v>0.39</v>
      </c>
      <c r="F64" s="57">
        <v>0.31</v>
      </c>
      <c r="G64" s="58">
        <v>0.0875</v>
      </c>
      <c r="H64" s="59"/>
      <c r="I64" s="57">
        <v>0.0125</v>
      </c>
      <c r="J64" s="57">
        <v>0.1</v>
      </c>
      <c r="K64" s="57">
        <v>0.1</v>
      </c>
      <c r="L64" s="57">
        <v>0</v>
      </c>
      <c r="M64" s="39"/>
    </row>
    <row r="65" spans="2:13" ht="12.75">
      <c r="B65" s="40"/>
      <c r="C65" s="40"/>
      <c r="D65" s="40"/>
      <c r="E65" s="27"/>
      <c r="F65" s="28"/>
      <c r="G65" s="41"/>
      <c r="H65" s="27"/>
      <c r="I65" s="41"/>
      <c r="J65" s="41"/>
      <c r="K65" s="41"/>
      <c r="L65" s="41"/>
      <c r="M65" s="39"/>
    </row>
    <row r="66" spans="1:13" s="24" customFormat="1" ht="12.75">
      <c r="A66" s="147" t="s">
        <v>46</v>
      </c>
      <c r="B66" s="148"/>
      <c r="C66" s="148"/>
      <c r="D66" s="148"/>
      <c r="E66" s="148"/>
      <c r="F66" s="148"/>
      <c r="G66" s="148"/>
      <c r="H66" s="148"/>
      <c r="I66" s="148"/>
      <c r="J66" s="148"/>
      <c r="K66" s="148"/>
      <c r="L66" s="148"/>
      <c r="M66" s="149"/>
    </row>
    <row r="67" spans="1:6" ht="10.5" customHeight="1">
      <c r="A67" s="25"/>
      <c r="E67"/>
      <c r="F67" s="16"/>
    </row>
    <row r="68" spans="1:13" ht="51.75" customHeight="1">
      <c r="A68" s="150" t="s">
        <v>116</v>
      </c>
      <c r="B68" s="151"/>
      <c r="C68" s="151"/>
      <c r="D68" s="151"/>
      <c r="E68" s="151"/>
      <c r="F68" s="151"/>
      <c r="G68" s="151"/>
      <c r="H68" s="151"/>
      <c r="I68" s="151"/>
      <c r="J68" s="151"/>
      <c r="K68" s="151"/>
      <c r="L68" s="151"/>
      <c r="M68" s="151"/>
    </row>
    <row r="69" spans="1:6" ht="12.75">
      <c r="A69" s="16"/>
      <c r="E69"/>
      <c r="F69" s="16"/>
    </row>
    <row r="70" spans="2:5" ht="12.75">
      <c r="B70" s="25" t="s">
        <v>47</v>
      </c>
      <c r="C70" s="25"/>
      <c r="D70" s="25"/>
      <c r="E70" s="16">
        <v>865679</v>
      </c>
    </row>
    <row r="71" spans="2:5" ht="12.75">
      <c r="B71" s="25" t="s">
        <v>48</v>
      </c>
      <c r="C71" s="25"/>
      <c r="D71" s="25"/>
      <c r="E71" s="16">
        <v>288560</v>
      </c>
    </row>
    <row r="72" spans="2:5" ht="7.5" customHeight="1">
      <c r="B72" s="16" t="s">
        <v>33</v>
      </c>
      <c r="E72" s="16" t="s">
        <v>33</v>
      </c>
    </row>
    <row r="73" ht="12.75">
      <c r="E73" s="16" t="s">
        <v>33</v>
      </c>
    </row>
    <row r="74" ht="12.75">
      <c r="A74" s="29" t="s">
        <v>100</v>
      </c>
    </row>
  </sheetData>
  <sheetProtection/>
  <mergeCells count="12">
    <mergeCell ref="A1:M1"/>
    <mergeCell ref="A2:M2"/>
    <mergeCell ref="A3:M3"/>
    <mergeCell ref="A4:M4"/>
    <mergeCell ref="A5:M5"/>
    <mergeCell ref="A8:M8"/>
    <mergeCell ref="I10:M10"/>
    <mergeCell ref="A31:M31"/>
    <mergeCell ref="A59:M59"/>
    <mergeCell ref="F61:I61"/>
    <mergeCell ref="A66:M66"/>
    <mergeCell ref="A68:M68"/>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71"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M74"/>
  <sheetViews>
    <sheetView zoomScalePageLayoutView="0" workbookViewId="0" topLeftCell="A1">
      <selection activeCell="G29" sqref="G29"/>
    </sheetView>
  </sheetViews>
  <sheetFormatPr defaultColWidth="9.140625" defaultRowHeight="12.75"/>
  <cols>
    <col min="1" max="1" width="9.28125" style="3" customWidth="1"/>
    <col min="2" max="2" width="14.140625" style="16" customWidth="1"/>
    <col min="3" max="3" width="13.42187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3" width="13.00390625" style="16" customWidth="1"/>
    <col min="14" max="14" width="12.7109375" style="0" customWidth="1"/>
  </cols>
  <sheetData>
    <row r="1" spans="1:13" ht="18">
      <c r="A1" s="152" t="s">
        <v>102</v>
      </c>
      <c r="B1" s="152"/>
      <c r="C1" s="152"/>
      <c r="D1" s="152"/>
      <c r="E1" s="152"/>
      <c r="F1" s="152"/>
      <c r="G1" s="152"/>
      <c r="H1" s="152"/>
      <c r="I1" s="152"/>
      <c r="J1" s="152"/>
      <c r="K1" s="152"/>
      <c r="L1" s="152"/>
      <c r="M1" s="152"/>
    </row>
    <row r="2" spans="1:13" ht="15">
      <c r="A2" s="153" t="s">
        <v>1</v>
      </c>
      <c r="B2" s="153"/>
      <c r="C2" s="153"/>
      <c r="D2" s="153"/>
      <c r="E2" s="153"/>
      <c r="F2" s="153"/>
      <c r="G2" s="153"/>
      <c r="H2" s="153"/>
      <c r="I2" s="153"/>
      <c r="J2" s="153"/>
      <c r="K2" s="153"/>
      <c r="L2" s="153"/>
      <c r="M2" s="153"/>
    </row>
    <row r="3" spans="1:13" s="1" customFormat="1" ht="15">
      <c r="A3" s="153" t="s">
        <v>2</v>
      </c>
      <c r="B3" s="153"/>
      <c r="C3" s="153"/>
      <c r="D3" s="153"/>
      <c r="E3" s="153"/>
      <c r="F3" s="153"/>
      <c r="G3" s="153"/>
      <c r="H3" s="153"/>
      <c r="I3" s="153"/>
      <c r="J3" s="153"/>
      <c r="K3" s="153"/>
      <c r="L3" s="153"/>
      <c r="M3" s="153"/>
    </row>
    <row r="4" spans="1:13" s="1" customFormat="1" ht="12.75">
      <c r="A4" s="138" t="s">
        <v>3</v>
      </c>
      <c r="B4" s="139"/>
      <c r="C4" s="139"/>
      <c r="D4" s="139"/>
      <c r="E4" s="139"/>
      <c r="F4" s="139"/>
      <c r="G4" s="139"/>
      <c r="H4" s="139"/>
      <c r="I4" s="139"/>
      <c r="J4" s="139"/>
      <c r="K4" s="139"/>
      <c r="L4" s="139"/>
      <c r="M4" s="139"/>
    </row>
    <row r="5" spans="1:13" s="1" customFormat="1" ht="14.25">
      <c r="A5" s="154" t="s">
        <v>4</v>
      </c>
      <c r="B5" s="154"/>
      <c r="C5" s="154"/>
      <c r="D5" s="154"/>
      <c r="E5" s="154"/>
      <c r="F5" s="154"/>
      <c r="G5" s="154"/>
      <c r="H5" s="154"/>
      <c r="I5" s="154"/>
      <c r="J5" s="154"/>
      <c r="K5" s="154"/>
      <c r="L5" s="154"/>
      <c r="M5" s="154"/>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44" t="s">
        <v>113</v>
      </c>
      <c r="B8" s="145"/>
      <c r="C8" s="145"/>
      <c r="D8" s="145"/>
      <c r="E8" s="145"/>
      <c r="F8" s="145"/>
      <c r="G8" s="145"/>
      <c r="H8" s="145"/>
      <c r="I8" s="145"/>
      <c r="J8" s="145"/>
      <c r="K8" s="145"/>
      <c r="L8" s="145"/>
      <c r="M8" s="14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43" t="s">
        <v>6</v>
      </c>
      <c r="J10" s="143"/>
      <c r="K10" s="143"/>
      <c r="L10" s="143"/>
      <c r="M10" s="143"/>
    </row>
    <row r="11" spans="1:13" s="1" customFormat="1" ht="12.75">
      <c r="A11" s="3"/>
      <c r="B11" s="5"/>
      <c r="C11" s="5"/>
      <c r="D11" s="48"/>
      <c r="E11" s="5"/>
      <c r="F11" s="6"/>
      <c r="G11" s="5"/>
      <c r="H11" s="5"/>
      <c r="I11" s="5"/>
      <c r="J11" s="5"/>
      <c r="K11" s="5"/>
      <c r="L11" s="5"/>
      <c r="M11" s="5"/>
    </row>
    <row r="12" spans="1:13" s="12" customFormat="1" ht="12">
      <c r="A12" s="9"/>
      <c r="B12" s="10" t="s">
        <v>7</v>
      </c>
      <c r="C12" s="10" t="s">
        <v>75</v>
      </c>
      <c r="D12" s="10" t="s">
        <v>7</v>
      </c>
      <c r="E12" s="10"/>
      <c r="F12" s="11" t="s">
        <v>8</v>
      </c>
      <c r="G12" s="10" t="s">
        <v>9</v>
      </c>
      <c r="H12" s="10"/>
      <c r="I12" s="10" t="s">
        <v>10</v>
      </c>
      <c r="J12" s="10" t="s">
        <v>82</v>
      </c>
      <c r="K12" s="10" t="s">
        <v>11</v>
      </c>
      <c r="L12" s="10" t="s">
        <v>83</v>
      </c>
      <c r="M12" s="10" t="s">
        <v>51</v>
      </c>
    </row>
    <row r="13" spans="1:13" s="12" customFormat="1" ht="12">
      <c r="A13" s="13" t="s">
        <v>12</v>
      </c>
      <c r="B13" s="8" t="s">
        <v>13</v>
      </c>
      <c r="C13" s="8" t="s">
        <v>20</v>
      </c>
      <c r="D13" s="8" t="s">
        <v>14</v>
      </c>
      <c r="E13" s="8" t="s">
        <v>15</v>
      </c>
      <c r="F13" s="14" t="s">
        <v>16</v>
      </c>
      <c r="G13" s="8" t="s">
        <v>17</v>
      </c>
      <c r="H13" s="15"/>
      <c r="I13" s="8" t="s">
        <v>18</v>
      </c>
      <c r="J13" s="8" t="s">
        <v>19</v>
      </c>
      <c r="K13" s="8" t="s">
        <v>20</v>
      </c>
      <c r="L13" s="8" t="s">
        <v>84</v>
      </c>
      <c r="M13" s="8" t="s">
        <v>52</v>
      </c>
    </row>
    <row r="14" ht="12.75">
      <c r="D14" s="45"/>
    </row>
    <row r="15" spans="1:13" ht="12.75">
      <c r="A15" s="3">
        <v>42461</v>
      </c>
      <c r="B15" s="16">
        <v>78479094.93</v>
      </c>
      <c r="C15" s="16">
        <v>776662.24</v>
      </c>
      <c r="D15" s="45">
        <f aca="true" t="shared" si="0" ref="D15:D26">+B15-C15-E15</f>
        <v>71629554.34000002</v>
      </c>
      <c r="E15" s="16">
        <v>6072878.35</v>
      </c>
      <c r="F15" s="17">
        <v>940</v>
      </c>
      <c r="G15" s="16">
        <f>E15/F15/30</f>
        <v>215.35029609929077</v>
      </c>
      <c r="I15" s="16">
        <v>2125507.43</v>
      </c>
      <c r="J15" s="16">
        <v>2489880.14</v>
      </c>
      <c r="K15" s="16">
        <v>607287.83</v>
      </c>
      <c r="L15" s="16">
        <v>607287.83</v>
      </c>
      <c r="M15" s="16">
        <v>242915.15</v>
      </c>
    </row>
    <row r="16" spans="1:13" ht="12.75">
      <c r="A16" s="3">
        <v>42491</v>
      </c>
      <c r="B16" s="16">
        <v>80127068.61</v>
      </c>
      <c r="C16" s="16">
        <v>966594.34</v>
      </c>
      <c r="D16" s="45">
        <f t="shared" si="0"/>
        <v>73362875.22</v>
      </c>
      <c r="E16" s="16">
        <v>5797599.05</v>
      </c>
      <c r="F16" s="17">
        <v>940</v>
      </c>
      <c r="G16" s="16">
        <v>199</v>
      </c>
      <c r="I16" s="16">
        <v>2029159.66</v>
      </c>
      <c r="J16" s="16">
        <v>2377015.61</v>
      </c>
      <c r="K16" s="16">
        <v>579759.92</v>
      </c>
      <c r="L16" s="16">
        <v>579759.92</v>
      </c>
      <c r="M16" s="16">
        <v>231903.94</v>
      </c>
    </row>
    <row r="17" spans="1:13" ht="12.75">
      <c r="A17" s="3">
        <v>42522</v>
      </c>
      <c r="B17" s="16">
        <v>75809791.49</v>
      </c>
      <c r="C17" s="16">
        <v>940132.87</v>
      </c>
      <c r="D17" s="45">
        <f t="shared" si="0"/>
        <v>69376173.57999998</v>
      </c>
      <c r="E17" s="16">
        <v>5493485.04</v>
      </c>
      <c r="F17" s="17">
        <v>940</v>
      </c>
      <c r="G17" s="16">
        <v>195</v>
      </c>
      <c r="I17" s="16">
        <v>1922719.77</v>
      </c>
      <c r="J17" s="16">
        <v>2252328.9</v>
      </c>
      <c r="K17" s="16">
        <v>549348.52</v>
      </c>
      <c r="L17" s="16">
        <v>549348.52</v>
      </c>
      <c r="M17" s="16">
        <v>219739.38</v>
      </c>
    </row>
    <row r="18" spans="1:13" ht="12.75">
      <c r="A18" s="3">
        <v>42552</v>
      </c>
      <c r="B18" s="16">
        <v>79964343.27</v>
      </c>
      <c r="C18" s="16">
        <v>802818.68</v>
      </c>
      <c r="D18" s="45">
        <f t="shared" si="0"/>
        <v>73117902.64999999</v>
      </c>
      <c r="E18" s="16">
        <v>6043621.94</v>
      </c>
      <c r="F18" s="17">
        <v>940</v>
      </c>
      <c r="G18" s="16">
        <v>207</v>
      </c>
      <c r="I18" s="16">
        <v>2115267.67</v>
      </c>
      <c r="J18" s="16">
        <v>2477885</v>
      </c>
      <c r="K18" s="16">
        <v>604362.21</v>
      </c>
      <c r="L18" s="16">
        <v>604362.21</v>
      </c>
      <c r="M18" s="16">
        <v>241744.88</v>
      </c>
    </row>
    <row r="19" spans="1:13" ht="12.75">
      <c r="A19" s="3">
        <v>42583</v>
      </c>
      <c r="B19" s="16">
        <v>67095210.8</v>
      </c>
      <c r="C19" s="16">
        <v>921898.51</v>
      </c>
      <c r="D19" s="45">
        <f t="shared" si="0"/>
        <v>61460805.85</v>
      </c>
      <c r="E19" s="16">
        <v>4712506.44</v>
      </c>
      <c r="F19" s="17">
        <v>940</v>
      </c>
      <c r="G19" s="16">
        <v>162</v>
      </c>
      <c r="I19" s="16">
        <v>1649377.25</v>
      </c>
      <c r="J19" s="16">
        <v>1932127.63</v>
      </c>
      <c r="K19" s="16">
        <v>471250.64</v>
      </c>
      <c r="L19" s="16">
        <v>471250.64</v>
      </c>
      <c r="M19" s="16">
        <v>188500.27</v>
      </c>
    </row>
    <row r="20" spans="1:13" ht="12.75">
      <c r="A20" s="3">
        <v>42614</v>
      </c>
      <c r="B20" s="16">
        <v>72082100.63</v>
      </c>
      <c r="C20" s="16">
        <v>745276.53</v>
      </c>
      <c r="D20" s="45">
        <f t="shared" si="0"/>
        <v>66161764.3</v>
      </c>
      <c r="E20" s="16">
        <v>5175059.8</v>
      </c>
      <c r="F20" s="17">
        <v>940</v>
      </c>
      <c r="G20" s="16">
        <v>184</v>
      </c>
      <c r="I20" s="16">
        <v>1811270.94</v>
      </c>
      <c r="J20" s="16">
        <v>2121774.52</v>
      </c>
      <c r="K20" s="16">
        <v>517505.97</v>
      </c>
      <c r="L20" s="16">
        <v>517505.97</v>
      </c>
      <c r="M20" s="16">
        <v>207002.42</v>
      </c>
    </row>
    <row r="21" spans="1:13" ht="12.75">
      <c r="A21" s="3">
        <v>42644</v>
      </c>
      <c r="B21" s="16">
        <v>66566437.94</v>
      </c>
      <c r="C21" s="16">
        <v>538561.17</v>
      </c>
      <c r="D21" s="45">
        <f t="shared" si="0"/>
        <v>60964581.63999999</v>
      </c>
      <c r="E21" s="16">
        <v>5063295.13</v>
      </c>
      <c r="F21" s="17">
        <v>940</v>
      </c>
      <c r="G21" s="16">
        <v>174</v>
      </c>
      <c r="I21" s="16">
        <v>1772153.3</v>
      </c>
      <c r="J21" s="16">
        <v>2075951.02</v>
      </c>
      <c r="K21" s="16">
        <v>506329.48</v>
      </c>
      <c r="L21" s="16">
        <v>506329.5</v>
      </c>
      <c r="M21" s="16">
        <v>202531.77</v>
      </c>
    </row>
    <row r="22" spans="1:13" ht="12.75">
      <c r="A22" s="3">
        <v>42675</v>
      </c>
      <c r="B22" s="16">
        <v>64484978.87</v>
      </c>
      <c r="C22" s="16">
        <v>599441.54</v>
      </c>
      <c r="D22" s="45">
        <f t="shared" si="0"/>
        <v>58998720.62</v>
      </c>
      <c r="E22" s="16">
        <v>4886816.71</v>
      </c>
      <c r="F22" s="17">
        <v>940</v>
      </c>
      <c r="G22" s="16">
        <v>173</v>
      </c>
      <c r="I22" s="16">
        <v>1710385.85</v>
      </c>
      <c r="J22" s="16">
        <v>2003594.85</v>
      </c>
      <c r="K22" s="16">
        <v>488681.68</v>
      </c>
      <c r="L22" s="16">
        <v>488681.68</v>
      </c>
      <c r="M22" s="16">
        <v>195472.66</v>
      </c>
    </row>
    <row r="23" spans="1:13" ht="12.75">
      <c r="A23" s="3">
        <v>42705</v>
      </c>
      <c r="B23" s="16">
        <v>67105347.07</v>
      </c>
      <c r="C23" s="16">
        <v>702015.93</v>
      </c>
      <c r="D23" s="45">
        <f t="shared" si="0"/>
        <v>61429432.83</v>
      </c>
      <c r="E23" s="16">
        <v>4973898.31</v>
      </c>
      <c r="F23" s="17">
        <v>940</v>
      </c>
      <c r="G23" s="16">
        <v>171</v>
      </c>
      <c r="I23" s="16">
        <v>1740864.43</v>
      </c>
      <c r="J23" s="16">
        <v>2039298.3</v>
      </c>
      <c r="K23" s="16">
        <v>497389.85</v>
      </c>
      <c r="L23" s="16">
        <v>497389.85</v>
      </c>
      <c r="M23" s="16">
        <v>198955.93</v>
      </c>
    </row>
    <row r="24" spans="1:13" ht="12.75">
      <c r="A24" s="3">
        <v>42736</v>
      </c>
      <c r="B24" s="16">
        <v>64172950.6</v>
      </c>
      <c r="C24" s="16">
        <v>535815.72</v>
      </c>
      <c r="D24" s="45">
        <f t="shared" si="0"/>
        <v>58596132.800000004</v>
      </c>
      <c r="E24" s="16">
        <v>5041002.08</v>
      </c>
      <c r="F24" s="17">
        <v>940</v>
      </c>
      <c r="G24" s="16">
        <v>173</v>
      </c>
      <c r="I24" s="16">
        <v>1764350.74</v>
      </c>
      <c r="J24" s="16">
        <v>2066810.86</v>
      </c>
      <c r="K24" s="16">
        <v>504100.2</v>
      </c>
      <c r="L24" s="16">
        <v>504100.21</v>
      </c>
      <c r="M24" s="16">
        <v>201640.08</v>
      </c>
    </row>
    <row r="25" spans="1:13" ht="12.75">
      <c r="A25" s="3">
        <v>42767</v>
      </c>
      <c r="B25" s="16">
        <v>68768140.35</v>
      </c>
      <c r="C25" s="16">
        <v>606802.06</v>
      </c>
      <c r="D25" s="45">
        <f t="shared" si="0"/>
        <v>62995660.21999999</v>
      </c>
      <c r="E25" s="16">
        <v>5165678.07</v>
      </c>
      <c r="F25" s="17">
        <v>940</v>
      </c>
      <c r="G25" s="16">
        <v>196</v>
      </c>
      <c r="I25" s="16">
        <v>1807987.34</v>
      </c>
      <c r="J25" s="16">
        <v>2117927.99</v>
      </c>
      <c r="K25" s="16">
        <v>516567.83</v>
      </c>
      <c r="L25" s="16">
        <v>516567.83</v>
      </c>
      <c r="M25" s="16">
        <v>206627.13</v>
      </c>
    </row>
    <row r="26" spans="1:13" ht="12.75">
      <c r="A26" s="3">
        <v>42795</v>
      </c>
      <c r="B26" s="16">
        <v>77576032.61</v>
      </c>
      <c r="C26" s="16">
        <v>700487.32</v>
      </c>
      <c r="D26" s="45">
        <f t="shared" si="0"/>
        <v>71010213.23</v>
      </c>
      <c r="E26" s="16">
        <v>5865332.06</v>
      </c>
      <c r="F26" s="17">
        <v>940</v>
      </c>
      <c r="G26" s="16">
        <v>201</v>
      </c>
      <c r="I26" s="16">
        <v>2124513.11</v>
      </c>
      <c r="J26" s="16">
        <v>2404786.14</v>
      </c>
      <c r="K26" s="16">
        <v>586533.22</v>
      </c>
      <c r="L26" s="16">
        <v>586533.23</v>
      </c>
      <c r="M26" s="16">
        <v>162966.39</v>
      </c>
    </row>
    <row r="27" spans="1:13" ht="13.5" thickBot="1">
      <c r="A27" s="65" t="s">
        <v>21</v>
      </c>
      <c r="B27" s="66">
        <f>SUM(B15:B26)</f>
        <v>862231497.1700001</v>
      </c>
      <c r="C27" s="66">
        <f>SUM(C15:C26)</f>
        <v>8836506.91</v>
      </c>
      <c r="D27" s="67">
        <f>SUM(D15:D26)</f>
        <v>789103817.28</v>
      </c>
      <c r="E27" s="66">
        <f>SUM(E15:E26)</f>
        <v>64291172.980000004</v>
      </c>
      <c r="F27" s="68">
        <f>AVERAGE(F15:F26)</f>
        <v>940</v>
      </c>
      <c r="G27" s="66">
        <f>AVERAGE(G15:G26)</f>
        <v>187.52919134160757</v>
      </c>
      <c r="H27" s="34"/>
      <c r="I27" s="66">
        <f>SUM(I15:I26)</f>
        <v>22573557.49</v>
      </c>
      <c r="J27" s="66">
        <f>SUM(J15:J26)</f>
        <v>26359380.96</v>
      </c>
      <c r="K27" s="66">
        <f>SUM(K15:K26)</f>
        <v>6429117.35</v>
      </c>
      <c r="L27" s="66">
        <f>SUM(L15:L26)</f>
        <v>6429117.389999999</v>
      </c>
      <c r="M27" s="66">
        <f>SUM(M15:M26)</f>
        <v>2499999.9999999995</v>
      </c>
    </row>
    <row r="28" spans="2:13" ht="10.5" customHeight="1" thickTop="1">
      <c r="B28" s="20"/>
      <c r="C28" s="20"/>
      <c r="D28" s="18"/>
      <c r="E28" s="20"/>
      <c r="I28" s="20"/>
      <c r="J28" s="20"/>
      <c r="K28" s="20"/>
      <c r="L28" s="20"/>
      <c r="M28" s="20"/>
    </row>
    <row r="29" spans="1:13" s="23" customFormat="1" ht="12.75">
      <c r="A29" s="21"/>
      <c r="B29" s="22"/>
      <c r="C29" s="50">
        <f>C27/B27</f>
        <v>0.01024841581292613</v>
      </c>
      <c r="D29" s="50">
        <f>D27/B27</f>
        <v>0.9151878815259957</v>
      </c>
      <c r="E29" s="22">
        <f>E27/B27</f>
        <v>0.07456370266107801</v>
      </c>
      <c r="I29" s="22">
        <f>I27/$E$27</f>
        <v>0.3511144134362315</v>
      </c>
      <c r="J29" s="22">
        <f>J27/$E$27</f>
        <v>0.41000000059417174</v>
      </c>
      <c r="K29" s="22">
        <f>K27/$E$27</f>
        <v>0.1000000008088202</v>
      </c>
      <c r="L29" s="22">
        <f>L27/$E$27</f>
        <v>0.10000000143098957</v>
      </c>
      <c r="M29" s="22">
        <f>M27/$E$27</f>
        <v>0.03888558699617615</v>
      </c>
    </row>
    <row r="31" spans="1:13" s="24" customFormat="1" ht="12.75">
      <c r="A31" s="144" t="s">
        <v>22</v>
      </c>
      <c r="B31" s="145"/>
      <c r="C31" s="145"/>
      <c r="D31" s="145"/>
      <c r="E31" s="145"/>
      <c r="F31" s="145"/>
      <c r="G31" s="145"/>
      <c r="H31" s="145"/>
      <c r="I31" s="145"/>
      <c r="J31" s="145"/>
      <c r="K31" s="145"/>
      <c r="L31" s="145"/>
      <c r="M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3" s="47" customFormat="1" ht="6" customHeight="1">
      <c r="A35" s="26"/>
      <c r="B35" s="44"/>
      <c r="C35" s="27"/>
      <c r="E35" s="51"/>
      <c r="F35" s="51"/>
      <c r="G35" s="51"/>
      <c r="H35" s="51"/>
      <c r="I35" s="51"/>
      <c r="J35" s="51"/>
      <c r="K35" s="51"/>
      <c r="L35" s="51"/>
      <c r="M35" s="51"/>
    </row>
    <row r="36" spans="1:13" s="47" customFormat="1" ht="12.75">
      <c r="A36" s="26" t="s">
        <v>99</v>
      </c>
      <c r="B36" s="44"/>
      <c r="C36" s="27" t="s">
        <v>89</v>
      </c>
      <c r="D36" s="45"/>
      <c r="E36" s="45"/>
      <c r="F36" s="27"/>
      <c r="G36" s="27"/>
      <c r="H36" s="27"/>
      <c r="I36" s="27"/>
      <c r="J36" s="44"/>
      <c r="K36" s="44"/>
      <c r="L36" s="44"/>
      <c r="M36" s="44"/>
    </row>
    <row r="37" spans="1:13" s="47" customFormat="1" ht="6" customHeight="1">
      <c r="A37" s="26"/>
      <c r="B37" s="44"/>
      <c r="C37" s="27"/>
      <c r="E37" s="45"/>
      <c r="F37" s="27"/>
      <c r="G37" s="27"/>
      <c r="H37" s="27"/>
      <c r="I37" s="27"/>
      <c r="J37" s="44"/>
      <c r="K37" s="44"/>
      <c r="L37" s="44"/>
      <c r="M37" s="44"/>
    </row>
    <row r="38" spans="1:13" s="47" customFormat="1" ht="12.75">
      <c r="A38" s="26" t="s">
        <v>24</v>
      </c>
      <c r="B38" s="44"/>
      <c r="C38" s="62" t="s">
        <v>103</v>
      </c>
      <c r="E38" s="45"/>
      <c r="F38" s="27"/>
      <c r="G38" s="27"/>
      <c r="H38" s="27"/>
      <c r="I38" s="27"/>
      <c r="J38" s="44"/>
      <c r="K38" s="44"/>
      <c r="L38" s="44"/>
      <c r="M38" s="44"/>
    </row>
    <row r="39" spans="1:13" s="47" customFormat="1" ht="6" customHeight="1">
      <c r="A39" s="26"/>
      <c r="B39" s="44"/>
      <c r="C39" s="27"/>
      <c r="E39" s="45"/>
      <c r="F39" s="27"/>
      <c r="G39" s="27"/>
      <c r="H39" s="27"/>
      <c r="I39" s="27"/>
      <c r="J39" s="44"/>
      <c r="K39" s="44"/>
      <c r="L39" s="44"/>
      <c r="M39" s="44"/>
    </row>
    <row r="40" spans="1:13" s="47" customFormat="1" ht="12.75">
      <c r="A40" s="26" t="s">
        <v>26</v>
      </c>
      <c r="B40" s="44"/>
      <c r="C40" s="44" t="s">
        <v>65</v>
      </c>
      <c r="E40" s="45"/>
      <c r="F40" s="46"/>
      <c r="G40" s="44"/>
      <c r="H40" s="44"/>
      <c r="I40" s="44"/>
      <c r="J40" s="44"/>
      <c r="K40" s="44"/>
      <c r="L40" s="44"/>
      <c r="M40" s="44"/>
    </row>
    <row r="41" spans="1:13" s="47" customFormat="1" ht="12.75">
      <c r="A41" s="26"/>
      <c r="B41" s="44"/>
      <c r="C41" s="44" t="s">
        <v>66</v>
      </c>
      <c r="E41" s="45"/>
      <c r="F41" s="46"/>
      <c r="G41" s="44"/>
      <c r="H41" s="44"/>
      <c r="I41" s="44"/>
      <c r="J41" s="44"/>
      <c r="K41" s="44"/>
      <c r="L41" s="44"/>
      <c r="M41" s="44"/>
    </row>
    <row r="42" spans="1:13" s="47" customFormat="1" ht="6" customHeight="1">
      <c r="A42" s="26"/>
      <c r="B42" s="44"/>
      <c r="C42" s="44"/>
      <c r="E42" s="45"/>
      <c r="F42" s="46"/>
      <c r="G42" s="44"/>
      <c r="H42" s="44"/>
      <c r="I42" s="44"/>
      <c r="J42" s="44"/>
      <c r="K42" s="44"/>
      <c r="L42" s="44"/>
      <c r="M42" s="44"/>
    </row>
    <row r="43" spans="1:13" s="47" customFormat="1" ht="12.75">
      <c r="A43" s="26" t="s">
        <v>29</v>
      </c>
      <c r="B43" s="44"/>
      <c r="C43" s="44" t="s">
        <v>30</v>
      </c>
      <c r="E43" s="45"/>
      <c r="F43" s="46"/>
      <c r="G43" s="44"/>
      <c r="H43" s="44"/>
      <c r="I43" s="44"/>
      <c r="J43" s="44"/>
      <c r="K43" s="44"/>
      <c r="L43" s="44"/>
      <c r="M43" s="44"/>
    </row>
    <row r="44" spans="1:13" s="47" customFormat="1" ht="6" customHeight="1">
      <c r="A44" s="26"/>
      <c r="B44" s="44"/>
      <c r="C44" s="44"/>
      <c r="D44" s="44"/>
      <c r="E44" s="45"/>
      <c r="F44" s="46"/>
      <c r="G44" s="44"/>
      <c r="H44" s="44"/>
      <c r="I44" s="44"/>
      <c r="J44" s="44"/>
      <c r="K44" s="44"/>
      <c r="L44" s="44"/>
      <c r="M44" s="44"/>
    </row>
    <row r="45" spans="1:12" s="47" customFormat="1" ht="12.75">
      <c r="A45" s="26" t="s">
        <v>76</v>
      </c>
      <c r="B45" s="44"/>
      <c r="C45" s="44" t="s">
        <v>105</v>
      </c>
      <c r="D45" s="45"/>
      <c r="E45" s="46"/>
      <c r="F45" s="44"/>
      <c r="G45" s="44"/>
      <c r="H45" s="44"/>
      <c r="I45" s="44"/>
      <c r="J45" s="44"/>
      <c r="K45" s="44"/>
      <c r="L45" s="44"/>
    </row>
    <row r="46" spans="1:12" s="47" customFormat="1" ht="12.75">
      <c r="A46" s="26"/>
      <c r="B46" s="44"/>
      <c r="C46" s="44" t="s">
        <v>85</v>
      </c>
      <c r="D46" s="45"/>
      <c r="E46" s="46"/>
      <c r="F46" s="44"/>
      <c r="G46" s="44"/>
      <c r="H46" s="44"/>
      <c r="I46" s="44"/>
      <c r="J46" s="44"/>
      <c r="K46" s="44"/>
      <c r="L46" s="44"/>
    </row>
    <row r="47" spans="1:12" s="47" customFormat="1" ht="12.75">
      <c r="A47" s="26"/>
      <c r="B47" s="44"/>
      <c r="C47" s="44" t="s">
        <v>86</v>
      </c>
      <c r="D47" s="45"/>
      <c r="E47" s="46"/>
      <c r="F47" s="44"/>
      <c r="G47" s="44"/>
      <c r="H47" s="44"/>
      <c r="I47" s="44"/>
      <c r="J47" s="44"/>
      <c r="K47" s="44"/>
      <c r="L47" s="44"/>
    </row>
    <row r="48" spans="1:13" s="47" customFormat="1" ht="6" customHeight="1">
      <c r="A48" s="26"/>
      <c r="B48" s="44"/>
      <c r="C48" s="44"/>
      <c r="D48" s="44"/>
      <c r="E48" s="45"/>
      <c r="F48" s="46"/>
      <c r="G48" s="44"/>
      <c r="H48" s="44"/>
      <c r="I48" s="44"/>
      <c r="J48" s="44"/>
      <c r="K48" s="44"/>
      <c r="L48" s="44"/>
      <c r="M48" s="44"/>
    </row>
    <row r="49" spans="1:12" s="47" customFormat="1" ht="12.75">
      <c r="A49" s="26" t="s">
        <v>31</v>
      </c>
      <c r="B49" s="44"/>
      <c r="C49" s="44" t="s">
        <v>106</v>
      </c>
      <c r="D49" s="45"/>
      <c r="E49" s="46"/>
      <c r="F49" s="44"/>
      <c r="G49" s="44"/>
      <c r="H49" s="44"/>
      <c r="I49" s="44"/>
      <c r="J49" s="44"/>
      <c r="K49" s="44"/>
      <c r="L49" s="44"/>
    </row>
    <row r="50" spans="1:12" s="47" customFormat="1" ht="12.75">
      <c r="A50" s="26"/>
      <c r="B50" s="44"/>
      <c r="C50" s="44" t="s">
        <v>107</v>
      </c>
      <c r="D50" s="45"/>
      <c r="E50" s="46"/>
      <c r="F50" s="44"/>
      <c r="G50" s="44"/>
      <c r="H50" s="44"/>
      <c r="I50" s="44"/>
      <c r="J50" s="44"/>
      <c r="K50" s="44"/>
      <c r="L50" s="44"/>
    </row>
    <row r="51" spans="1:13" s="47" customFormat="1" ht="6" customHeight="1">
      <c r="A51" s="26"/>
      <c r="B51" s="44"/>
      <c r="C51" s="44"/>
      <c r="E51" s="45"/>
      <c r="F51" s="46"/>
      <c r="G51" s="44"/>
      <c r="H51" s="44"/>
      <c r="I51" s="44"/>
      <c r="J51" s="44"/>
      <c r="K51" s="44"/>
      <c r="L51" s="44"/>
      <c r="M51" s="44"/>
    </row>
    <row r="52" spans="1:12" s="47" customFormat="1" ht="12.75">
      <c r="A52" s="26" t="s">
        <v>88</v>
      </c>
      <c r="B52" s="44"/>
      <c r="C52" s="44" t="s">
        <v>80</v>
      </c>
      <c r="D52" s="45"/>
      <c r="E52" s="46"/>
      <c r="F52" s="44"/>
      <c r="G52" s="44"/>
      <c r="H52" s="44"/>
      <c r="I52" s="44"/>
      <c r="J52" s="44"/>
      <c r="K52" s="44"/>
      <c r="L52" s="44"/>
    </row>
    <row r="53" spans="1:12" s="47" customFormat="1" ht="12.75">
      <c r="A53" s="29"/>
      <c r="B53" s="44"/>
      <c r="C53" s="44" t="s">
        <v>81</v>
      </c>
      <c r="D53" s="45"/>
      <c r="E53" s="46"/>
      <c r="F53" s="44"/>
      <c r="G53" s="44"/>
      <c r="H53" s="44"/>
      <c r="I53" s="44"/>
      <c r="J53" s="44"/>
      <c r="K53" s="44"/>
      <c r="L53" s="44"/>
    </row>
    <row r="54" spans="1:13" s="47" customFormat="1" ht="6" customHeight="1">
      <c r="A54" s="30"/>
      <c r="B54" s="52"/>
      <c r="C54" s="52"/>
      <c r="E54" s="52"/>
      <c r="F54" s="53"/>
      <c r="G54" s="52"/>
      <c r="H54" s="52"/>
      <c r="I54" s="52"/>
      <c r="J54" s="52"/>
      <c r="K54" s="52"/>
      <c r="L54" s="52"/>
      <c r="M54" s="52"/>
    </row>
    <row r="55" spans="1:13" s="47" customFormat="1" ht="12.75">
      <c r="A55" s="26" t="s">
        <v>53</v>
      </c>
      <c r="B55" s="44"/>
      <c r="C55" s="44" t="s">
        <v>67</v>
      </c>
      <c r="E55" s="45"/>
      <c r="F55" s="46"/>
      <c r="G55" s="44"/>
      <c r="H55" s="44"/>
      <c r="I55" s="44"/>
      <c r="J55" s="44"/>
      <c r="K55" s="44"/>
      <c r="L55" s="44"/>
      <c r="M55" s="45"/>
    </row>
    <row r="56" spans="1:13" s="47" customFormat="1" ht="12.75">
      <c r="A56" s="29"/>
      <c r="B56" s="44"/>
      <c r="C56" s="44" t="s">
        <v>68</v>
      </c>
      <c r="E56" s="45"/>
      <c r="F56" s="46"/>
      <c r="G56" s="44"/>
      <c r="H56" s="44"/>
      <c r="I56" s="44"/>
      <c r="J56" s="44"/>
      <c r="K56" s="44"/>
      <c r="L56" s="44"/>
      <c r="M56" s="45"/>
    </row>
    <row r="57" spans="1:13" s="47" customFormat="1" ht="12.75">
      <c r="A57" s="29"/>
      <c r="B57" s="44"/>
      <c r="C57" s="44" t="s">
        <v>69</v>
      </c>
      <c r="E57" s="45"/>
      <c r="F57" s="46"/>
      <c r="G57" s="44"/>
      <c r="H57" s="44"/>
      <c r="I57" s="44"/>
      <c r="J57" s="44"/>
      <c r="K57" s="44"/>
      <c r="L57" s="44"/>
      <c r="M57" s="45"/>
    </row>
    <row r="58" spans="1:13" ht="12.75">
      <c r="A58" s="30"/>
      <c r="B58" s="31"/>
      <c r="C58" s="31"/>
      <c r="D58" s="44"/>
      <c r="E58" s="31"/>
      <c r="F58" s="32"/>
      <c r="G58" s="31"/>
      <c r="H58" s="31"/>
      <c r="I58" s="31"/>
      <c r="J58" s="31"/>
      <c r="K58" s="31"/>
      <c r="L58" s="31"/>
      <c r="M58" s="31"/>
    </row>
    <row r="59" spans="1:13" s="24" customFormat="1" ht="12.75">
      <c r="A59" s="144" t="s">
        <v>32</v>
      </c>
      <c r="B59" s="145"/>
      <c r="C59" s="145"/>
      <c r="D59" s="145"/>
      <c r="E59" s="145"/>
      <c r="F59" s="145"/>
      <c r="G59" s="145"/>
      <c r="H59" s="145"/>
      <c r="I59" s="145"/>
      <c r="J59" s="145"/>
      <c r="K59" s="145"/>
      <c r="L59" s="145"/>
      <c r="M59" s="146"/>
    </row>
    <row r="60" ht="12.75">
      <c r="A60" s="25"/>
    </row>
    <row r="61" spans="1:13" ht="13.5">
      <c r="A61" s="33"/>
      <c r="E61" s="10" t="s">
        <v>10</v>
      </c>
      <c r="F61" s="143" t="s">
        <v>90</v>
      </c>
      <c r="G61" s="143"/>
      <c r="H61" s="143"/>
      <c r="I61" s="143"/>
      <c r="J61" s="10" t="s">
        <v>11</v>
      </c>
      <c r="K61" s="10" t="s">
        <v>83</v>
      </c>
      <c r="L61" s="10" t="s">
        <v>51</v>
      </c>
      <c r="M61" s="35"/>
    </row>
    <row r="62" spans="1:13" ht="12.75">
      <c r="A62" s="36"/>
      <c r="E62" s="8" t="s">
        <v>18</v>
      </c>
      <c r="F62" s="8" t="s">
        <v>91</v>
      </c>
      <c r="G62" s="56" t="s">
        <v>92</v>
      </c>
      <c r="H62" s="37"/>
      <c r="I62" s="8" t="s">
        <v>93</v>
      </c>
      <c r="J62" s="8" t="s">
        <v>20</v>
      </c>
      <c r="K62" s="8" t="s">
        <v>84</v>
      </c>
      <c r="L62" s="8" t="s">
        <v>52</v>
      </c>
      <c r="M62" s="35"/>
    </row>
    <row r="63" spans="2:13" ht="12.75">
      <c r="B63" s="40" t="s">
        <v>61</v>
      </c>
      <c r="C63" s="40"/>
      <c r="D63" s="40"/>
      <c r="E63" s="57">
        <v>0.35</v>
      </c>
      <c r="F63" s="57">
        <v>0.31</v>
      </c>
      <c r="G63" s="58">
        <v>0.0875</v>
      </c>
      <c r="H63" s="59"/>
      <c r="I63" s="57">
        <v>0.0125</v>
      </c>
      <c r="J63" s="57">
        <v>0.1</v>
      </c>
      <c r="K63" s="57">
        <v>0.1</v>
      </c>
      <c r="L63" s="57">
        <v>0.04</v>
      </c>
      <c r="M63" s="39"/>
    </row>
    <row r="64" spans="2:13" ht="12.75">
      <c r="B64" s="40" t="s">
        <v>109</v>
      </c>
      <c r="C64" s="40"/>
      <c r="D64" s="40"/>
      <c r="E64" s="57">
        <v>0.39</v>
      </c>
      <c r="F64" s="57">
        <v>0.31</v>
      </c>
      <c r="G64" s="58">
        <v>0.0875</v>
      </c>
      <c r="H64" s="59"/>
      <c r="I64" s="57">
        <v>0.0125</v>
      </c>
      <c r="J64" s="57">
        <v>0.1</v>
      </c>
      <c r="K64" s="57">
        <v>0.1</v>
      </c>
      <c r="L64" s="57">
        <v>0</v>
      </c>
      <c r="M64" s="39"/>
    </row>
    <row r="65" spans="2:13" ht="12.75">
      <c r="B65" s="40"/>
      <c r="C65" s="40"/>
      <c r="D65" s="40"/>
      <c r="E65" s="27"/>
      <c r="F65" s="28"/>
      <c r="G65" s="41"/>
      <c r="H65" s="27"/>
      <c r="I65" s="41"/>
      <c r="J65" s="41"/>
      <c r="K65" s="41"/>
      <c r="L65" s="41"/>
      <c r="M65" s="39"/>
    </row>
    <row r="66" spans="1:13" s="24" customFormat="1" ht="12.75">
      <c r="A66" s="147" t="s">
        <v>46</v>
      </c>
      <c r="B66" s="148"/>
      <c r="C66" s="148"/>
      <c r="D66" s="148"/>
      <c r="E66" s="148"/>
      <c r="F66" s="148"/>
      <c r="G66" s="148"/>
      <c r="H66" s="148"/>
      <c r="I66" s="148"/>
      <c r="J66" s="148"/>
      <c r="K66" s="148"/>
      <c r="L66" s="148"/>
      <c r="M66" s="149"/>
    </row>
    <row r="67" spans="1:6" ht="10.5" customHeight="1">
      <c r="A67" s="25"/>
      <c r="E67"/>
      <c r="F67" s="16"/>
    </row>
    <row r="68" spans="1:13" ht="51.75" customHeight="1">
      <c r="A68" s="150" t="s">
        <v>114</v>
      </c>
      <c r="B68" s="151"/>
      <c r="C68" s="151"/>
      <c r="D68" s="151"/>
      <c r="E68" s="151"/>
      <c r="F68" s="151"/>
      <c r="G68" s="151"/>
      <c r="H68" s="151"/>
      <c r="I68" s="151"/>
      <c r="J68" s="151"/>
      <c r="K68" s="151"/>
      <c r="L68" s="151"/>
      <c r="M68" s="151"/>
    </row>
    <row r="69" spans="1:6" ht="12.75">
      <c r="A69" s="16"/>
      <c r="E69"/>
      <c r="F69" s="16"/>
    </row>
    <row r="70" spans="2:5" ht="12.75">
      <c r="B70" s="25" t="s">
        <v>47</v>
      </c>
      <c r="C70" s="25"/>
      <c r="D70" s="25"/>
      <c r="E70" s="16">
        <v>865678</v>
      </c>
    </row>
    <row r="71" spans="2:5" ht="12.75">
      <c r="B71" s="25" t="s">
        <v>48</v>
      </c>
      <c r="C71" s="25"/>
      <c r="D71" s="25"/>
      <c r="E71" s="16">
        <v>288560</v>
      </c>
    </row>
    <row r="72" spans="2:5" ht="7.5" customHeight="1">
      <c r="B72" s="16" t="s">
        <v>33</v>
      </c>
      <c r="E72" s="16" t="s">
        <v>33</v>
      </c>
    </row>
    <row r="73" ht="12.75">
      <c r="E73" s="16" t="s">
        <v>33</v>
      </c>
    </row>
    <row r="74" ht="12.75">
      <c r="A74" s="29" t="s">
        <v>100</v>
      </c>
    </row>
  </sheetData>
  <sheetProtection/>
  <mergeCells count="12">
    <mergeCell ref="I10:M10"/>
    <mergeCell ref="A31:M31"/>
    <mergeCell ref="A59:M59"/>
    <mergeCell ref="F61:I61"/>
    <mergeCell ref="A66:M66"/>
    <mergeCell ref="A68:M68"/>
    <mergeCell ref="A1:M1"/>
    <mergeCell ref="A2:M2"/>
    <mergeCell ref="A3:M3"/>
    <mergeCell ref="A4:M4"/>
    <mergeCell ref="A5:M5"/>
    <mergeCell ref="A8:M8"/>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69"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M74"/>
  <sheetViews>
    <sheetView zoomScalePageLayoutView="0" workbookViewId="0" topLeftCell="A1">
      <selection activeCell="A1" sqref="A1:M1"/>
    </sheetView>
  </sheetViews>
  <sheetFormatPr defaultColWidth="9.140625" defaultRowHeight="12.75"/>
  <cols>
    <col min="1" max="1" width="9.28125" style="3" customWidth="1"/>
    <col min="2" max="2" width="14.140625" style="16" customWidth="1"/>
    <col min="3" max="3" width="13.42187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3" width="13.00390625" style="16" customWidth="1"/>
    <col min="14" max="14" width="12.7109375" style="0" customWidth="1"/>
  </cols>
  <sheetData>
    <row r="1" spans="1:13" ht="18">
      <c r="A1" s="152" t="s">
        <v>102</v>
      </c>
      <c r="B1" s="152"/>
      <c r="C1" s="152"/>
      <c r="D1" s="152"/>
      <c r="E1" s="152"/>
      <c r="F1" s="152"/>
      <c r="G1" s="152"/>
      <c r="H1" s="152"/>
      <c r="I1" s="152"/>
      <c r="J1" s="152"/>
      <c r="K1" s="152"/>
      <c r="L1" s="152"/>
      <c r="M1" s="152"/>
    </row>
    <row r="2" spans="1:13" ht="15">
      <c r="A2" s="153" t="s">
        <v>1</v>
      </c>
      <c r="B2" s="153"/>
      <c r="C2" s="153"/>
      <c r="D2" s="153"/>
      <c r="E2" s="153"/>
      <c r="F2" s="153"/>
      <c r="G2" s="153"/>
      <c r="H2" s="153"/>
      <c r="I2" s="153"/>
      <c r="J2" s="153"/>
      <c r="K2" s="153"/>
      <c r="L2" s="153"/>
      <c r="M2" s="153"/>
    </row>
    <row r="3" spans="1:13" s="1" customFormat="1" ht="15">
      <c r="A3" s="153" t="s">
        <v>2</v>
      </c>
      <c r="B3" s="153"/>
      <c r="C3" s="153"/>
      <c r="D3" s="153"/>
      <c r="E3" s="153"/>
      <c r="F3" s="153"/>
      <c r="G3" s="153"/>
      <c r="H3" s="153"/>
      <c r="I3" s="153"/>
      <c r="J3" s="153"/>
      <c r="K3" s="153"/>
      <c r="L3" s="153"/>
      <c r="M3" s="153"/>
    </row>
    <row r="4" spans="1:13" s="1" customFormat="1" ht="12.75">
      <c r="A4" s="138" t="s">
        <v>3</v>
      </c>
      <c r="B4" s="139"/>
      <c r="C4" s="139"/>
      <c r="D4" s="139"/>
      <c r="E4" s="139"/>
      <c r="F4" s="139"/>
      <c r="G4" s="139"/>
      <c r="H4" s="139"/>
      <c r="I4" s="139"/>
      <c r="J4" s="139"/>
      <c r="K4" s="139"/>
      <c r="L4" s="139"/>
      <c r="M4" s="139"/>
    </row>
    <row r="5" spans="1:13" s="1" customFormat="1" ht="14.25">
      <c r="A5" s="154" t="s">
        <v>4</v>
      </c>
      <c r="B5" s="154"/>
      <c r="C5" s="154"/>
      <c r="D5" s="154"/>
      <c r="E5" s="154"/>
      <c r="F5" s="154"/>
      <c r="G5" s="154"/>
      <c r="H5" s="154"/>
      <c r="I5" s="154"/>
      <c r="J5" s="154"/>
      <c r="K5" s="154"/>
      <c r="L5" s="154"/>
      <c r="M5" s="154"/>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144" t="s">
        <v>108</v>
      </c>
      <c r="B8" s="145"/>
      <c r="C8" s="145"/>
      <c r="D8" s="145"/>
      <c r="E8" s="145"/>
      <c r="F8" s="145"/>
      <c r="G8" s="145"/>
      <c r="H8" s="145"/>
      <c r="I8" s="145"/>
      <c r="J8" s="145"/>
      <c r="K8" s="145"/>
      <c r="L8" s="145"/>
      <c r="M8" s="146"/>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143" t="s">
        <v>6</v>
      </c>
      <c r="J10" s="143"/>
      <c r="K10" s="143"/>
      <c r="L10" s="143"/>
      <c r="M10" s="143"/>
    </row>
    <row r="11" spans="1:13" s="1" customFormat="1" ht="12.75">
      <c r="A11" s="3"/>
      <c r="B11" s="5"/>
      <c r="C11" s="5"/>
      <c r="D11" s="48"/>
      <c r="E11" s="5"/>
      <c r="F11" s="6"/>
      <c r="G11" s="5"/>
      <c r="H11" s="5"/>
      <c r="I11" s="5"/>
      <c r="J11" s="5"/>
      <c r="K11" s="5"/>
      <c r="L11" s="5"/>
      <c r="M11" s="5"/>
    </row>
    <row r="12" spans="1:13" s="12" customFormat="1" ht="12">
      <c r="A12" s="9"/>
      <c r="B12" s="10" t="s">
        <v>7</v>
      </c>
      <c r="C12" s="10" t="s">
        <v>75</v>
      </c>
      <c r="D12" s="10" t="s">
        <v>7</v>
      </c>
      <c r="E12" s="10"/>
      <c r="F12" s="11" t="s">
        <v>8</v>
      </c>
      <c r="G12" s="10" t="s">
        <v>9</v>
      </c>
      <c r="H12" s="10"/>
      <c r="I12" s="10" t="s">
        <v>10</v>
      </c>
      <c r="J12" s="10" t="s">
        <v>82</v>
      </c>
      <c r="K12" s="10" t="s">
        <v>11</v>
      </c>
      <c r="L12" s="10" t="s">
        <v>83</v>
      </c>
      <c r="M12" s="10" t="s">
        <v>51</v>
      </c>
    </row>
    <row r="13" spans="1:13" s="12" customFormat="1" ht="12">
      <c r="A13" s="13" t="s">
        <v>12</v>
      </c>
      <c r="B13" s="8" t="s">
        <v>13</v>
      </c>
      <c r="C13" s="8" t="s">
        <v>20</v>
      </c>
      <c r="D13" s="8" t="s">
        <v>14</v>
      </c>
      <c r="E13" s="8" t="s">
        <v>15</v>
      </c>
      <c r="F13" s="14" t="s">
        <v>16</v>
      </c>
      <c r="G13" s="8" t="s">
        <v>17</v>
      </c>
      <c r="H13" s="15"/>
      <c r="I13" s="8" t="s">
        <v>18</v>
      </c>
      <c r="J13" s="8" t="s">
        <v>19</v>
      </c>
      <c r="K13" s="8" t="s">
        <v>20</v>
      </c>
      <c r="L13" s="8" t="s">
        <v>84</v>
      </c>
      <c r="M13" s="8" t="s">
        <v>52</v>
      </c>
    </row>
    <row r="14" ht="12.75">
      <c r="D14" s="45"/>
    </row>
    <row r="15" spans="1:13" ht="12.75">
      <c r="A15" s="3">
        <v>42095</v>
      </c>
      <c r="B15" s="16">
        <v>74414710.32</v>
      </c>
      <c r="C15" s="16">
        <v>578188.37</v>
      </c>
      <c r="D15" s="45">
        <f aca="true" t="shared" si="0" ref="D15:D26">+B15-C15-E15</f>
        <v>67833543.07999998</v>
      </c>
      <c r="E15" s="16">
        <v>6002978.87</v>
      </c>
      <c r="F15" s="17">
        <v>940</v>
      </c>
      <c r="G15" s="16">
        <f>E15/F15/30</f>
        <v>212.87159113475178</v>
      </c>
      <c r="I15" s="16">
        <v>2101042.61</v>
      </c>
      <c r="J15" s="16">
        <v>2461221.36</v>
      </c>
      <c r="K15" s="16">
        <v>600297.89</v>
      </c>
      <c r="L15" s="16">
        <v>600297.89</v>
      </c>
      <c r="M15" s="16">
        <v>240119.17</v>
      </c>
    </row>
    <row r="16" spans="1:13" ht="12.75">
      <c r="A16" s="3">
        <v>42125</v>
      </c>
      <c r="B16" s="16">
        <v>74649008.99</v>
      </c>
      <c r="C16" s="16">
        <v>609689.67</v>
      </c>
      <c r="D16" s="45">
        <f t="shared" si="0"/>
        <v>68136502.66</v>
      </c>
      <c r="E16" s="16">
        <v>5902816.66</v>
      </c>
      <c r="F16" s="17">
        <v>940</v>
      </c>
      <c r="G16" s="16">
        <f>E16/F16/31</f>
        <v>202.5674900480439</v>
      </c>
      <c r="I16" s="16">
        <v>2065985.83</v>
      </c>
      <c r="J16" s="16">
        <v>2420154.8</v>
      </c>
      <c r="K16" s="16">
        <v>590281.67</v>
      </c>
      <c r="L16" s="16">
        <v>590281.67</v>
      </c>
      <c r="M16" s="16">
        <v>236112.65</v>
      </c>
    </row>
    <row r="17" spans="1:13" ht="12.75">
      <c r="A17" s="3">
        <v>42156</v>
      </c>
      <c r="B17" s="16">
        <v>71499452.39</v>
      </c>
      <c r="C17" s="16">
        <v>637563.3</v>
      </c>
      <c r="D17" s="45">
        <f t="shared" si="0"/>
        <v>65405653.09</v>
      </c>
      <c r="E17" s="16">
        <v>5456236</v>
      </c>
      <c r="F17" s="17">
        <v>940</v>
      </c>
      <c r="G17" s="16">
        <f>E17/F17/30</f>
        <v>193.48354609929078</v>
      </c>
      <c r="I17" s="16">
        <v>1909682.6</v>
      </c>
      <c r="J17" s="16">
        <v>2237056.73</v>
      </c>
      <c r="K17" s="16">
        <v>545623.64</v>
      </c>
      <c r="L17" s="16">
        <v>545623.64</v>
      </c>
      <c r="M17" s="16">
        <v>218249.42</v>
      </c>
    </row>
    <row r="18" spans="1:13" ht="12.75">
      <c r="A18" s="3">
        <v>42186</v>
      </c>
      <c r="B18" s="16">
        <v>77370865.68</v>
      </c>
      <c r="C18" s="16">
        <v>709450.34</v>
      </c>
      <c r="D18" s="45">
        <f t="shared" si="0"/>
        <v>70696561.36</v>
      </c>
      <c r="E18" s="16">
        <v>5964853.98</v>
      </c>
      <c r="F18" s="17">
        <v>940</v>
      </c>
      <c r="G18" s="16">
        <f>E18/F18/31</f>
        <v>204.6964303363075</v>
      </c>
      <c r="I18" s="16">
        <v>2087698.88</v>
      </c>
      <c r="J18" s="16">
        <v>2445590.12</v>
      </c>
      <c r="K18" s="16">
        <v>596485.42</v>
      </c>
      <c r="L18" s="16">
        <v>596485.42</v>
      </c>
      <c r="M18" s="16">
        <v>238594.15</v>
      </c>
    </row>
    <row r="19" spans="1:13" ht="12.75">
      <c r="A19" s="3">
        <v>42217</v>
      </c>
      <c r="B19" s="16">
        <v>68982016.31</v>
      </c>
      <c r="C19" s="16">
        <v>678107.76</v>
      </c>
      <c r="D19" s="45">
        <f t="shared" si="0"/>
        <v>62957293.699999996</v>
      </c>
      <c r="E19" s="16">
        <v>5346614.85</v>
      </c>
      <c r="F19" s="17">
        <v>940</v>
      </c>
      <c r="G19" s="16">
        <f>E19/F19/31</f>
        <v>183.4802625257378</v>
      </c>
      <c r="I19" s="16">
        <v>1871315.21</v>
      </c>
      <c r="J19" s="16">
        <v>2192112.09</v>
      </c>
      <c r="K19" s="16">
        <v>534661.5</v>
      </c>
      <c r="L19" s="16">
        <v>534661.5</v>
      </c>
      <c r="M19" s="16">
        <v>213864.58</v>
      </c>
    </row>
    <row r="20" spans="1:13" ht="12.75">
      <c r="A20" s="3">
        <v>42248</v>
      </c>
      <c r="B20" s="16">
        <v>67554413.31</v>
      </c>
      <c r="C20" s="16">
        <v>737026.32</v>
      </c>
      <c r="D20" s="45">
        <f t="shared" si="0"/>
        <v>61532617.7</v>
      </c>
      <c r="E20" s="16">
        <v>5284769.29</v>
      </c>
      <c r="F20" s="17">
        <v>940</v>
      </c>
      <c r="G20" s="16">
        <f>E20/F20/30</f>
        <v>187.40316631205675</v>
      </c>
      <c r="I20" s="16">
        <v>1849669.29</v>
      </c>
      <c r="J20" s="16">
        <v>2166755.41</v>
      </c>
      <c r="K20" s="16">
        <v>528476.92</v>
      </c>
      <c r="L20" s="16">
        <v>528476.92</v>
      </c>
      <c r="M20" s="16">
        <v>211390.78</v>
      </c>
    </row>
    <row r="21" spans="1:13" ht="12.75">
      <c r="A21" s="3">
        <v>42278</v>
      </c>
      <c r="B21" s="16">
        <v>69530125.29</v>
      </c>
      <c r="C21" s="16">
        <v>739442.99</v>
      </c>
      <c r="D21" s="45">
        <f t="shared" si="0"/>
        <v>63645044.91000001</v>
      </c>
      <c r="E21" s="16">
        <v>5145637.39</v>
      </c>
      <c r="F21" s="17">
        <v>940</v>
      </c>
      <c r="G21" s="16">
        <f>E21/F21/31</f>
        <v>176.58330096087852</v>
      </c>
      <c r="I21" s="16">
        <v>1800973.09</v>
      </c>
      <c r="J21" s="16">
        <v>2109711.37</v>
      </c>
      <c r="K21" s="16">
        <v>514563.78</v>
      </c>
      <c r="L21" s="16">
        <v>514563.78</v>
      </c>
      <c r="M21" s="16">
        <v>205825.48</v>
      </c>
    </row>
    <row r="22" spans="1:13" ht="12.75">
      <c r="A22" s="3">
        <v>42309</v>
      </c>
      <c r="B22" s="16">
        <v>66538761.71</v>
      </c>
      <c r="C22" s="16">
        <v>673460.04</v>
      </c>
      <c r="D22" s="45">
        <f t="shared" si="0"/>
        <v>60863293.11</v>
      </c>
      <c r="E22" s="16">
        <v>5002008.56</v>
      </c>
      <c r="F22" s="17">
        <v>940</v>
      </c>
      <c r="G22" s="16">
        <f>E22/F22/30</f>
        <v>177.37619007092198</v>
      </c>
      <c r="I22" s="16">
        <v>1750703</v>
      </c>
      <c r="J22" s="16">
        <v>2050823.5</v>
      </c>
      <c r="K22" s="16">
        <v>500200.85</v>
      </c>
      <c r="L22" s="16">
        <v>500200.85</v>
      </c>
      <c r="M22" s="16">
        <v>200080.36</v>
      </c>
    </row>
    <row r="23" spans="1:13" ht="12.75">
      <c r="A23" s="3">
        <v>42339</v>
      </c>
      <c r="B23" s="16">
        <v>70331373.07</v>
      </c>
      <c r="C23" s="16">
        <v>709632.3</v>
      </c>
      <c r="D23" s="45">
        <f t="shared" si="0"/>
        <v>64204903.269999996</v>
      </c>
      <c r="E23" s="16">
        <v>5416837.5</v>
      </c>
      <c r="F23" s="17">
        <v>940</v>
      </c>
      <c r="G23" s="16">
        <f>E23/F23/31</f>
        <v>185.89009951956075</v>
      </c>
      <c r="I23" s="16">
        <v>1895893.15</v>
      </c>
      <c r="J23" s="16">
        <v>2220903.39</v>
      </c>
      <c r="K23" s="16">
        <v>541683.78</v>
      </c>
      <c r="L23" s="16">
        <v>541683.78</v>
      </c>
      <c r="M23" s="16">
        <v>216673.5</v>
      </c>
    </row>
    <row r="24" spans="1:13" ht="12.75">
      <c r="A24" s="3">
        <v>42370</v>
      </c>
      <c r="B24" s="16">
        <v>64248482.63</v>
      </c>
      <c r="C24" s="16">
        <v>696919.35</v>
      </c>
      <c r="D24" s="45">
        <f t="shared" si="0"/>
        <v>58682720.33</v>
      </c>
      <c r="E24" s="16">
        <v>4868842.95</v>
      </c>
      <c r="F24" s="17">
        <v>940</v>
      </c>
      <c r="G24" s="16">
        <f>E24/F24/31</f>
        <v>167.08452127659572</v>
      </c>
      <c r="I24" s="16">
        <v>1704095.05</v>
      </c>
      <c r="J24" s="16">
        <v>1996225.6</v>
      </c>
      <c r="K24" s="16">
        <v>486884.3</v>
      </c>
      <c r="L24" s="16">
        <v>486884.3</v>
      </c>
      <c r="M24" s="16">
        <v>194753.72</v>
      </c>
    </row>
    <row r="25" spans="1:13" ht="12.75">
      <c r="A25" s="3">
        <v>42401</v>
      </c>
      <c r="B25" s="16">
        <v>66208279.41</v>
      </c>
      <c r="C25" s="16">
        <v>563224.51</v>
      </c>
      <c r="D25" s="45">
        <f t="shared" si="0"/>
        <v>60416952.46</v>
      </c>
      <c r="E25" s="16">
        <v>5228102.44</v>
      </c>
      <c r="F25" s="17">
        <v>940</v>
      </c>
      <c r="G25" s="16">
        <f>E25/F25/29</f>
        <v>191.78658987527515</v>
      </c>
      <c r="I25" s="16">
        <v>1829835.85</v>
      </c>
      <c r="J25" s="16">
        <v>2143521.98</v>
      </c>
      <c r="K25" s="16">
        <v>522810.26</v>
      </c>
      <c r="L25" s="16">
        <v>522810.26</v>
      </c>
      <c r="M25" s="16">
        <v>209124.09</v>
      </c>
    </row>
    <row r="26" spans="1:13" ht="12.75">
      <c r="A26" s="3">
        <v>42430</v>
      </c>
      <c r="B26" s="16">
        <v>78117774.08</v>
      </c>
      <c r="C26" s="16">
        <v>701488.31</v>
      </c>
      <c r="D26" s="45">
        <f t="shared" si="0"/>
        <v>71353555.33</v>
      </c>
      <c r="E26" s="16">
        <v>6062730.44</v>
      </c>
      <c r="F26" s="17">
        <v>940</v>
      </c>
      <c r="G26" s="16">
        <f>E26/F26/31</f>
        <v>208.05526561427592</v>
      </c>
      <c r="I26" s="16">
        <v>2249252.77</v>
      </c>
      <c r="J26" s="16">
        <v>2485719.47</v>
      </c>
      <c r="K26" s="16">
        <v>606273.06</v>
      </c>
      <c r="L26" s="16">
        <v>606273.06</v>
      </c>
      <c r="M26" s="16">
        <v>115212.1</v>
      </c>
    </row>
    <row r="27" spans="1:13" ht="13.5" thickBot="1">
      <c r="A27" s="3" t="s">
        <v>21</v>
      </c>
      <c r="B27" s="19">
        <f>SUM(B15:B26)</f>
        <v>849445263.1899999</v>
      </c>
      <c r="C27" s="19">
        <f>SUM(C15:C26)</f>
        <v>8034193.26</v>
      </c>
      <c r="D27" s="49">
        <f>SUM(D15:D26)</f>
        <v>775728641.0000001</v>
      </c>
      <c r="E27" s="19">
        <f>SUM(E15:E26)</f>
        <v>65682428.93</v>
      </c>
      <c r="I27" s="19">
        <f>SUM(I15:I26)</f>
        <v>23116147.33</v>
      </c>
      <c r="J27" s="19">
        <f>SUM(J15:J26)</f>
        <v>26929795.820000004</v>
      </c>
      <c r="K27" s="19">
        <f>SUM(K15:K26)</f>
        <v>6568243.07</v>
      </c>
      <c r="L27" s="19">
        <f>SUM(L15:L26)</f>
        <v>6568243.07</v>
      </c>
      <c r="M27" s="19">
        <f>SUM(M15:M26)</f>
        <v>2500000</v>
      </c>
    </row>
    <row r="28" spans="2:13" ht="10.5" customHeight="1" thickTop="1">
      <c r="B28" s="20"/>
      <c r="C28" s="20"/>
      <c r="D28" s="18"/>
      <c r="E28" s="20"/>
      <c r="I28" s="20"/>
      <c r="J28" s="20"/>
      <c r="K28" s="20"/>
      <c r="L28" s="20"/>
      <c r="M28" s="20"/>
    </row>
    <row r="29" spans="1:13" s="23" customFormat="1" ht="12.75">
      <c r="A29" s="21"/>
      <c r="B29" s="22"/>
      <c r="C29" s="50">
        <f>C27/B27</f>
        <v>0.009458164767236979</v>
      </c>
      <c r="D29" s="50">
        <f>D27/B27</f>
        <v>0.913217925410326</v>
      </c>
      <c r="E29" s="22">
        <f>E27/B27</f>
        <v>0.07732390982243721</v>
      </c>
      <c r="I29" s="22">
        <f>I27/$E$27</f>
        <v>0.35193807090532025</v>
      </c>
      <c r="J29" s="22">
        <f>J27/$E$27</f>
        <v>0.409999999371217</v>
      </c>
      <c r="K29" s="22">
        <f>K27/$E$27</f>
        <v>0.10000000269478464</v>
      </c>
      <c r="L29" s="22">
        <f>L27/$E$27</f>
        <v>0.10000000269478464</v>
      </c>
      <c r="M29" s="22">
        <f>M27/$E$27</f>
        <v>0.038061929814811435</v>
      </c>
    </row>
    <row r="31" spans="1:13" s="24" customFormat="1" ht="12.75">
      <c r="A31" s="144" t="s">
        <v>22</v>
      </c>
      <c r="B31" s="145"/>
      <c r="C31" s="145"/>
      <c r="D31" s="145"/>
      <c r="E31" s="145"/>
      <c r="F31" s="145"/>
      <c r="G31" s="145"/>
      <c r="H31" s="145"/>
      <c r="I31" s="145"/>
      <c r="J31" s="145"/>
      <c r="K31" s="145"/>
      <c r="L31" s="145"/>
      <c r="M31" s="146"/>
    </row>
    <row r="32" ht="12.75">
      <c r="A32" s="25"/>
    </row>
    <row r="33" spans="1:12" s="64" customFormat="1" ht="12.75" customHeight="1">
      <c r="A33" s="60" t="s">
        <v>23</v>
      </c>
      <c r="B33" s="61"/>
      <c r="C33" s="62" t="s">
        <v>96</v>
      </c>
      <c r="D33" s="63"/>
      <c r="E33" s="63"/>
      <c r="F33" s="63"/>
      <c r="G33" s="63"/>
      <c r="H33" s="63"/>
      <c r="I33" s="63"/>
      <c r="J33" s="63"/>
      <c r="K33" s="63"/>
      <c r="L33" s="63"/>
    </row>
    <row r="34" spans="1:12" s="64" customFormat="1" ht="12.75" customHeight="1">
      <c r="A34" s="60"/>
      <c r="B34" s="61"/>
      <c r="C34" s="62" t="s">
        <v>97</v>
      </c>
      <c r="D34" s="63"/>
      <c r="E34" s="63"/>
      <c r="F34" s="63"/>
      <c r="G34" s="63"/>
      <c r="H34" s="63"/>
      <c r="I34" s="63"/>
      <c r="J34" s="63"/>
      <c r="K34" s="63"/>
      <c r="L34" s="63"/>
    </row>
    <row r="35" spans="1:13" s="47" customFormat="1" ht="6" customHeight="1">
      <c r="A35" s="26"/>
      <c r="B35" s="44"/>
      <c r="C35" s="27"/>
      <c r="E35" s="51"/>
      <c r="F35" s="51"/>
      <c r="G35" s="51"/>
      <c r="H35" s="51"/>
      <c r="I35" s="51"/>
      <c r="J35" s="51"/>
      <c r="K35" s="51"/>
      <c r="L35" s="51"/>
      <c r="M35" s="51"/>
    </row>
    <row r="36" spans="1:13" s="47" customFormat="1" ht="12.75">
      <c r="A36" s="26" t="s">
        <v>99</v>
      </c>
      <c r="B36" s="44"/>
      <c r="C36" s="27" t="s">
        <v>89</v>
      </c>
      <c r="D36" s="45"/>
      <c r="E36" s="45"/>
      <c r="F36" s="27"/>
      <c r="G36" s="27"/>
      <c r="H36" s="27"/>
      <c r="I36" s="27"/>
      <c r="J36" s="44"/>
      <c r="K36" s="44"/>
      <c r="L36" s="44"/>
      <c r="M36" s="44"/>
    </row>
    <row r="37" spans="1:13" s="47" customFormat="1" ht="6" customHeight="1">
      <c r="A37" s="26"/>
      <c r="B37" s="44"/>
      <c r="C37" s="27"/>
      <c r="E37" s="45"/>
      <c r="F37" s="27"/>
      <c r="G37" s="27"/>
      <c r="H37" s="27"/>
      <c r="I37" s="27"/>
      <c r="J37" s="44"/>
      <c r="K37" s="44"/>
      <c r="L37" s="44"/>
      <c r="M37" s="44"/>
    </row>
    <row r="38" spans="1:13" s="47" customFormat="1" ht="12.75">
      <c r="A38" s="26" t="s">
        <v>24</v>
      </c>
      <c r="B38" s="44"/>
      <c r="C38" s="62" t="s">
        <v>103</v>
      </c>
      <c r="E38" s="45"/>
      <c r="F38" s="27"/>
      <c r="G38" s="27"/>
      <c r="H38" s="27"/>
      <c r="I38" s="27"/>
      <c r="J38" s="44"/>
      <c r="K38" s="44"/>
      <c r="L38" s="44"/>
      <c r="M38" s="44"/>
    </row>
    <row r="39" spans="1:13" s="47" customFormat="1" ht="6" customHeight="1">
      <c r="A39" s="26"/>
      <c r="B39" s="44"/>
      <c r="C39" s="27"/>
      <c r="E39" s="45"/>
      <c r="F39" s="27"/>
      <c r="G39" s="27"/>
      <c r="H39" s="27"/>
      <c r="I39" s="27"/>
      <c r="J39" s="44"/>
      <c r="K39" s="44"/>
      <c r="L39" s="44"/>
      <c r="M39" s="44"/>
    </row>
    <row r="40" spans="1:13" s="47" customFormat="1" ht="12.75">
      <c r="A40" s="26" t="s">
        <v>26</v>
      </c>
      <c r="B40" s="44"/>
      <c r="C40" s="44" t="s">
        <v>65</v>
      </c>
      <c r="E40" s="45"/>
      <c r="F40" s="46"/>
      <c r="G40" s="44"/>
      <c r="H40" s="44"/>
      <c r="I40" s="44"/>
      <c r="J40" s="44"/>
      <c r="K40" s="44"/>
      <c r="L40" s="44"/>
      <c r="M40" s="44"/>
    </row>
    <row r="41" spans="1:13" s="47" customFormat="1" ht="12.75">
      <c r="A41" s="26"/>
      <c r="B41" s="44"/>
      <c r="C41" s="44" t="s">
        <v>66</v>
      </c>
      <c r="E41" s="45"/>
      <c r="F41" s="46"/>
      <c r="G41" s="44"/>
      <c r="H41" s="44"/>
      <c r="I41" s="44"/>
      <c r="J41" s="44"/>
      <c r="K41" s="44"/>
      <c r="L41" s="44"/>
      <c r="M41" s="44"/>
    </row>
    <row r="42" spans="1:13" s="47" customFormat="1" ht="6" customHeight="1">
      <c r="A42" s="26"/>
      <c r="B42" s="44"/>
      <c r="C42" s="44"/>
      <c r="E42" s="45"/>
      <c r="F42" s="46"/>
      <c r="G42" s="44"/>
      <c r="H42" s="44"/>
      <c r="I42" s="44"/>
      <c r="J42" s="44"/>
      <c r="K42" s="44"/>
      <c r="L42" s="44"/>
      <c r="M42" s="44"/>
    </row>
    <row r="43" spans="1:13" s="47" customFormat="1" ht="12.75">
      <c r="A43" s="26" t="s">
        <v>29</v>
      </c>
      <c r="B43" s="44"/>
      <c r="C43" s="44" t="s">
        <v>30</v>
      </c>
      <c r="E43" s="45"/>
      <c r="F43" s="46"/>
      <c r="G43" s="44"/>
      <c r="H43" s="44"/>
      <c r="I43" s="44"/>
      <c r="J43" s="44"/>
      <c r="K43" s="44"/>
      <c r="L43" s="44"/>
      <c r="M43" s="44"/>
    </row>
    <row r="44" spans="1:13" s="47" customFormat="1" ht="6" customHeight="1">
      <c r="A44" s="26"/>
      <c r="B44" s="44"/>
      <c r="C44" s="44"/>
      <c r="D44" s="44"/>
      <c r="E44" s="45"/>
      <c r="F44" s="46"/>
      <c r="G44" s="44"/>
      <c r="H44" s="44"/>
      <c r="I44" s="44"/>
      <c r="J44" s="44"/>
      <c r="K44" s="44"/>
      <c r="L44" s="44"/>
      <c r="M44" s="44"/>
    </row>
    <row r="45" spans="1:12" s="47" customFormat="1" ht="12.75">
      <c r="A45" s="26" t="s">
        <v>76</v>
      </c>
      <c r="B45" s="44"/>
      <c r="C45" s="44" t="s">
        <v>105</v>
      </c>
      <c r="D45" s="45"/>
      <c r="E45" s="46"/>
      <c r="F45" s="44"/>
      <c r="G45" s="44"/>
      <c r="H45" s="44"/>
      <c r="I45" s="44"/>
      <c r="J45" s="44"/>
      <c r="K45" s="44"/>
      <c r="L45" s="44"/>
    </row>
    <row r="46" spans="1:12" s="47" customFormat="1" ht="12.75">
      <c r="A46" s="26"/>
      <c r="B46" s="44"/>
      <c r="C46" s="44" t="s">
        <v>85</v>
      </c>
      <c r="D46" s="45"/>
      <c r="E46" s="46"/>
      <c r="F46" s="44"/>
      <c r="G46" s="44"/>
      <c r="H46" s="44"/>
      <c r="I46" s="44"/>
      <c r="J46" s="44"/>
      <c r="K46" s="44"/>
      <c r="L46" s="44"/>
    </row>
    <row r="47" spans="1:12" s="47" customFormat="1" ht="12.75">
      <c r="A47" s="26"/>
      <c r="B47" s="44"/>
      <c r="C47" s="44" t="s">
        <v>86</v>
      </c>
      <c r="D47" s="45"/>
      <c r="E47" s="46"/>
      <c r="F47" s="44"/>
      <c r="G47" s="44"/>
      <c r="H47" s="44"/>
      <c r="I47" s="44"/>
      <c r="J47" s="44"/>
      <c r="K47" s="44"/>
      <c r="L47" s="44"/>
    </row>
    <row r="48" spans="1:13" s="47" customFormat="1" ht="6" customHeight="1">
      <c r="A48" s="26"/>
      <c r="B48" s="44"/>
      <c r="C48" s="44"/>
      <c r="D48" s="44"/>
      <c r="E48" s="45"/>
      <c r="F48" s="46"/>
      <c r="G48" s="44"/>
      <c r="H48" s="44"/>
      <c r="I48" s="44"/>
      <c r="J48" s="44"/>
      <c r="K48" s="44"/>
      <c r="L48" s="44"/>
      <c r="M48" s="44"/>
    </row>
    <row r="49" spans="1:12" s="47" customFormat="1" ht="12.75">
      <c r="A49" s="26" t="s">
        <v>31</v>
      </c>
      <c r="B49" s="44"/>
      <c r="C49" s="44" t="s">
        <v>106</v>
      </c>
      <c r="D49" s="45"/>
      <c r="E49" s="46"/>
      <c r="F49" s="44"/>
      <c r="G49" s="44"/>
      <c r="H49" s="44"/>
      <c r="I49" s="44"/>
      <c r="J49" s="44"/>
      <c r="K49" s="44"/>
      <c r="L49" s="44"/>
    </row>
    <row r="50" spans="1:12" s="47" customFormat="1" ht="12.75">
      <c r="A50" s="26"/>
      <c r="B50" s="44"/>
      <c r="C50" s="44" t="s">
        <v>107</v>
      </c>
      <c r="D50" s="45"/>
      <c r="E50" s="46"/>
      <c r="F50" s="44"/>
      <c r="G50" s="44"/>
      <c r="H50" s="44"/>
      <c r="I50" s="44"/>
      <c r="J50" s="44"/>
      <c r="K50" s="44"/>
      <c r="L50" s="44"/>
    </row>
    <row r="51" spans="1:13" s="47" customFormat="1" ht="6" customHeight="1">
      <c r="A51" s="26"/>
      <c r="B51" s="44"/>
      <c r="C51" s="44"/>
      <c r="E51" s="45"/>
      <c r="F51" s="46"/>
      <c r="G51" s="44"/>
      <c r="H51" s="44"/>
      <c r="I51" s="44"/>
      <c r="J51" s="44"/>
      <c r="K51" s="44"/>
      <c r="L51" s="44"/>
      <c r="M51" s="44"/>
    </row>
    <row r="52" spans="1:12" s="47" customFormat="1" ht="12.75">
      <c r="A52" s="26" t="s">
        <v>88</v>
      </c>
      <c r="B52" s="44"/>
      <c r="C52" s="44" t="s">
        <v>80</v>
      </c>
      <c r="D52" s="45"/>
      <c r="E52" s="46"/>
      <c r="F52" s="44"/>
      <c r="G52" s="44"/>
      <c r="H52" s="44"/>
      <c r="I52" s="44"/>
      <c r="J52" s="44"/>
      <c r="K52" s="44"/>
      <c r="L52" s="44"/>
    </row>
    <row r="53" spans="1:12" s="47" customFormat="1" ht="12.75">
      <c r="A53" s="29"/>
      <c r="B53" s="44"/>
      <c r="C53" s="44" t="s">
        <v>81</v>
      </c>
      <c r="D53" s="45"/>
      <c r="E53" s="46"/>
      <c r="F53" s="44"/>
      <c r="G53" s="44"/>
      <c r="H53" s="44"/>
      <c r="I53" s="44"/>
      <c r="J53" s="44"/>
      <c r="K53" s="44"/>
      <c r="L53" s="44"/>
    </row>
    <row r="54" spans="1:13" s="47" customFormat="1" ht="6" customHeight="1">
      <c r="A54" s="30"/>
      <c r="B54" s="52"/>
      <c r="C54" s="52"/>
      <c r="E54" s="52"/>
      <c r="F54" s="53"/>
      <c r="G54" s="52"/>
      <c r="H54" s="52"/>
      <c r="I54" s="52"/>
      <c r="J54" s="52"/>
      <c r="K54" s="52"/>
      <c r="L54" s="52"/>
      <c r="M54" s="52"/>
    </row>
    <row r="55" spans="1:13" s="47" customFormat="1" ht="12.75">
      <c r="A55" s="26" t="s">
        <v>53</v>
      </c>
      <c r="B55" s="44"/>
      <c r="C55" s="44" t="s">
        <v>67</v>
      </c>
      <c r="E55" s="45"/>
      <c r="F55" s="46"/>
      <c r="G55" s="44"/>
      <c r="H55" s="44"/>
      <c r="I55" s="44"/>
      <c r="J55" s="44"/>
      <c r="K55" s="44"/>
      <c r="L55" s="44"/>
      <c r="M55" s="45"/>
    </row>
    <row r="56" spans="1:13" s="47" customFormat="1" ht="12.75">
      <c r="A56" s="29"/>
      <c r="B56" s="44"/>
      <c r="C56" s="44" t="s">
        <v>68</v>
      </c>
      <c r="E56" s="45"/>
      <c r="F56" s="46"/>
      <c r="G56" s="44"/>
      <c r="H56" s="44"/>
      <c r="I56" s="44"/>
      <c r="J56" s="44"/>
      <c r="K56" s="44"/>
      <c r="L56" s="44"/>
      <c r="M56" s="45"/>
    </row>
    <row r="57" spans="1:13" s="47" customFormat="1" ht="12.75">
      <c r="A57" s="29"/>
      <c r="B57" s="44"/>
      <c r="C57" s="44" t="s">
        <v>69</v>
      </c>
      <c r="E57" s="45"/>
      <c r="F57" s="46"/>
      <c r="G57" s="44"/>
      <c r="H57" s="44"/>
      <c r="I57" s="44"/>
      <c r="J57" s="44"/>
      <c r="K57" s="44"/>
      <c r="L57" s="44"/>
      <c r="M57" s="45"/>
    </row>
    <row r="58" spans="1:13" ht="12.75">
      <c r="A58" s="30"/>
      <c r="B58" s="31"/>
      <c r="C58" s="31"/>
      <c r="D58" s="44"/>
      <c r="E58" s="31"/>
      <c r="F58" s="32"/>
      <c r="G58" s="31"/>
      <c r="H58" s="31"/>
      <c r="I58" s="31"/>
      <c r="J58" s="31"/>
      <c r="K58" s="31"/>
      <c r="L58" s="31"/>
      <c r="M58" s="31"/>
    </row>
    <row r="59" spans="1:13" s="24" customFormat="1" ht="12.75">
      <c r="A59" s="144" t="s">
        <v>32</v>
      </c>
      <c r="B59" s="145"/>
      <c r="C59" s="145"/>
      <c r="D59" s="145"/>
      <c r="E59" s="145"/>
      <c r="F59" s="145"/>
      <c r="G59" s="145"/>
      <c r="H59" s="145"/>
      <c r="I59" s="145"/>
      <c r="J59" s="145"/>
      <c r="K59" s="145"/>
      <c r="L59" s="145"/>
      <c r="M59" s="146"/>
    </row>
    <row r="60" ht="12.75">
      <c r="A60" s="25"/>
    </row>
    <row r="61" spans="1:13" ht="13.5">
      <c r="A61" s="33"/>
      <c r="E61" s="10" t="s">
        <v>10</v>
      </c>
      <c r="F61" s="143" t="s">
        <v>90</v>
      </c>
      <c r="G61" s="143"/>
      <c r="H61" s="143"/>
      <c r="I61" s="143"/>
      <c r="J61" s="10" t="s">
        <v>11</v>
      </c>
      <c r="K61" s="10" t="s">
        <v>83</v>
      </c>
      <c r="L61" s="10" t="s">
        <v>51</v>
      </c>
      <c r="M61" s="35"/>
    </row>
    <row r="62" spans="1:13" ht="12.75">
      <c r="A62" s="36"/>
      <c r="E62" s="8" t="s">
        <v>18</v>
      </c>
      <c r="F62" s="8" t="s">
        <v>91</v>
      </c>
      <c r="G62" s="56" t="s">
        <v>92</v>
      </c>
      <c r="H62" s="37"/>
      <c r="I62" s="8" t="s">
        <v>93</v>
      </c>
      <c r="J62" s="8" t="s">
        <v>20</v>
      </c>
      <c r="K62" s="8" t="s">
        <v>84</v>
      </c>
      <c r="L62" s="8" t="s">
        <v>52</v>
      </c>
      <c r="M62" s="35"/>
    </row>
    <row r="63" spans="2:13" ht="12.75">
      <c r="B63" s="40" t="s">
        <v>61</v>
      </c>
      <c r="C63" s="40"/>
      <c r="D63" s="40"/>
      <c r="E63" s="57">
        <v>0.35</v>
      </c>
      <c r="F63" s="57">
        <v>0.31</v>
      </c>
      <c r="G63" s="58">
        <v>0.0875</v>
      </c>
      <c r="H63" s="59"/>
      <c r="I63" s="57">
        <v>0.0125</v>
      </c>
      <c r="J63" s="57">
        <v>0.1</v>
      </c>
      <c r="K63" s="57">
        <v>0.1</v>
      </c>
      <c r="L63" s="57">
        <v>0.04</v>
      </c>
      <c r="M63" s="39"/>
    </row>
    <row r="64" spans="2:13" ht="12.75">
      <c r="B64" s="40" t="s">
        <v>109</v>
      </c>
      <c r="C64" s="40"/>
      <c r="D64" s="40"/>
      <c r="E64" s="57">
        <v>0.39</v>
      </c>
      <c r="F64" s="57">
        <v>0.31</v>
      </c>
      <c r="G64" s="58">
        <v>0.0875</v>
      </c>
      <c r="H64" s="59"/>
      <c r="I64" s="57">
        <v>0.0125</v>
      </c>
      <c r="J64" s="57">
        <v>0.1</v>
      </c>
      <c r="K64" s="57">
        <v>0.1</v>
      </c>
      <c r="L64" s="57">
        <v>0</v>
      </c>
      <c r="M64" s="39"/>
    </row>
    <row r="65" spans="2:13" ht="12.75">
      <c r="B65" s="40"/>
      <c r="C65" s="40"/>
      <c r="D65" s="40"/>
      <c r="E65" s="27"/>
      <c r="F65" s="28"/>
      <c r="G65" s="41"/>
      <c r="H65" s="27"/>
      <c r="I65" s="41"/>
      <c r="J65" s="41"/>
      <c r="K65" s="41"/>
      <c r="L65" s="41"/>
      <c r="M65" s="39"/>
    </row>
    <row r="66" spans="1:13" s="24" customFormat="1" ht="12.75">
      <c r="A66" s="147" t="s">
        <v>46</v>
      </c>
      <c r="B66" s="148"/>
      <c r="C66" s="148"/>
      <c r="D66" s="148"/>
      <c r="E66" s="148"/>
      <c r="F66" s="148"/>
      <c r="G66" s="148"/>
      <c r="H66" s="148"/>
      <c r="I66" s="148"/>
      <c r="J66" s="148"/>
      <c r="K66" s="148"/>
      <c r="L66" s="148"/>
      <c r="M66" s="149"/>
    </row>
    <row r="67" spans="1:6" ht="10.5" customHeight="1">
      <c r="A67" s="25"/>
      <c r="E67"/>
      <c r="F67" s="16"/>
    </row>
    <row r="68" spans="1:13" ht="51.75" customHeight="1">
      <c r="A68" s="150" t="s">
        <v>112</v>
      </c>
      <c r="B68" s="151"/>
      <c r="C68" s="151"/>
      <c r="D68" s="151"/>
      <c r="E68" s="151"/>
      <c r="F68" s="151"/>
      <c r="G68" s="151"/>
      <c r="H68" s="151"/>
      <c r="I68" s="151"/>
      <c r="J68" s="151"/>
      <c r="K68" s="151"/>
      <c r="L68" s="151"/>
      <c r="M68" s="151"/>
    </row>
    <row r="69" spans="1:6" ht="12.75">
      <c r="A69" s="16"/>
      <c r="E69"/>
      <c r="F69" s="16"/>
    </row>
    <row r="70" spans="2:5" ht="12.75">
      <c r="B70" s="25" t="s">
        <v>47</v>
      </c>
      <c r="C70" s="25"/>
      <c r="D70" s="25"/>
      <c r="E70" s="16">
        <v>865678</v>
      </c>
    </row>
    <row r="71" spans="2:5" ht="12.75">
      <c r="B71" s="25" t="s">
        <v>48</v>
      </c>
      <c r="C71" s="25"/>
      <c r="D71" s="25"/>
      <c r="E71" s="16">
        <v>288560</v>
      </c>
    </row>
    <row r="72" spans="2:5" ht="7.5" customHeight="1">
      <c r="B72" s="16" t="s">
        <v>33</v>
      </c>
      <c r="E72" s="16" t="s">
        <v>33</v>
      </c>
    </row>
    <row r="73" ht="12.75">
      <c r="E73" s="16" t="s">
        <v>33</v>
      </c>
    </row>
    <row r="74" ht="12.75">
      <c r="A74" s="29" t="s">
        <v>100</v>
      </c>
    </row>
  </sheetData>
  <sheetProtection/>
  <mergeCells count="12">
    <mergeCell ref="I10:M10"/>
    <mergeCell ref="A31:M31"/>
    <mergeCell ref="A59:M59"/>
    <mergeCell ref="F61:I61"/>
    <mergeCell ref="A66:M66"/>
    <mergeCell ref="A68:M68"/>
    <mergeCell ref="A1:M1"/>
    <mergeCell ref="A2:M2"/>
    <mergeCell ref="A3:M3"/>
    <mergeCell ref="A4:M4"/>
    <mergeCell ref="A5:M5"/>
    <mergeCell ref="A8:M8"/>
  </mergeCells>
  <hyperlinks>
    <hyperlink ref="A4" r:id="rId1" display="www.the-fairgrounds.com/gaming.php"/>
  </hyperlinks>
  <printOptions horizontalCentered="1"/>
  <pageMargins left="0.25" right="0.25" top="0.75" bottom="0.5" header="0.5" footer="0.5"/>
  <pageSetup fitToHeight="1" fitToWidth="1" horizontalDpi="600" verticalDpi="600" orientation="portrait" scale="6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Lottery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Roddy</dc:creator>
  <cp:keywords/>
  <dc:description/>
  <cp:lastModifiedBy>Day, Zachary (GAMING)</cp:lastModifiedBy>
  <cp:lastPrinted>2023-12-06T18:46:55Z</cp:lastPrinted>
  <dcterms:created xsi:type="dcterms:W3CDTF">2007-10-10T19:23:00Z</dcterms:created>
  <dcterms:modified xsi:type="dcterms:W3CDTF">2024-04-08T18:58:57Z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